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 activeTab="6"/>
  </bookViews>
  <sheets>
    <sheet name="тит" sheetId="11" r:id="rId1"/>
    <sheet name="2" sheetId="4" r:id="rId2"/>
    <sheet name="3" sheetId="2" r:id="rId3"/>
    <sheet name="3 (2)" sheetId="7" r:id="rId4"/>
    <sheet name="3 (3)" sheetId="8" r:id="rId5"/>
    <sheet name="4" sheetId="5" r:id="rId6"/>
    <sheet name="5" sheetId="6" r:id="rId7"/>
    <sheet name="3 с разбивкой утв" sheetId="12" r:id="rId8"/>
  </sheets>
  <definedNames>
    <definedName name="IS_DOCUMENT" localSheetId="2">'3'!$A$98</definedName>
    <definedName name="IS_DOCUMENT" localSheetId="3">'3 (2)'!$A$47</definedName>
    <definedName name="IS_DOCUMENT" localSheetId="4">'3 (3)'!$A$47</definedName>
    <definedName name="_xlnm.Print_Area" localSheetId="1">'2'!$A$1:$C$26</definedName>
    <definedName name="_xlnm.Print_Area" localSheetId="2">'3'!$A$1:$BF$118</definedName>
    <definedName name="_xlnm.Print_Area" localSheetId="3">'3 (2)'!$A$1:$BF$48</definedName>
    <definedName name="_xlnm.Print_Area" localSheetId="4">'3 (3)'!$A$1:$BF$48</definedName>
    <definedName name="_xlnm.Print_Area" localSheetId="7">'3 с разбивкой утв'!$A$1:$BK$118</definedName>
    <definedName name="_xlnm.Print_Area" localSheetId="5">'4'!$A$1:$L$23</definedName>
    <definedName name="_xlnm.Print_Area" localSheetId="6">'5'!$A$1:$C$37</definedName>
    <definedName name="_xlnm.Print_Area" localSheetId="0">тит!$A$1:$DY$39</definedName>
  </definedNames>
  <calcPr calcId="144525" iterate="1" iterateDelta="0.01"/>
</workbook>
</file>

<file path=xl/calcChain.xml><?xml version="1.0" encoding="utf-8"?>
<calcChain xmlns="http://schemas.openxmlformats.org/spreadsheetml/2006/main">
  <c r="BA118" i="2" l="1"/>
  <c r="BE117" i="2"/>
  <c r="BB117" i="2"/>
  <c r="BA117" i="2" s="1"/>
  <c r="BA116" i="2"/>
  <c r="BA115" i="2"/>
  <c r="BA114" i="2"/>
  <c r="BI113" i="2"/>
  <c r="BA113" i="2"/>
  <c r="BA112" i="2"/>
  <c r="BH111" i="2"/>
  <c r="BA111" i="2"/>
  <c r="AY108" i="2"/>
  <c r="BJ107" i="2"/>
  <c r="BE107" i="2"/>
  <c r="BE106" i="2"/>
  <c r="AY106" i="2"/>
  <c r="BE105" i="2"/>
  <c r="BE104" i="2"/>
  <c r="BE103" i="2"/>
  <c r="BE102" i="2"/>
  <c r="BE101" i="2"/>
  <c r="BE100" i="2"/>
  <c r="BE99" i="2"/>
  <c r="BE95" i="2"/>
  <c r="BI94" i="2"/>
  <c r="BE94" i="2"/>
  <c r="BJ93" i="2"/>
  <c r="BI93" i="2"/>
  <c r="BK93" i="2" s="1"/>
  <c r="BE93" i="2"/>
  <c r="BE92" i="2"/>
  <c r="BI91" i="2" s="1"/>
  <c r="BE91" i="2"/>
  <c r="BI90" i="2" s="1"/>
  <c r="BE90" i="2"/>
  <c r="BI101" i="2" s="1"/>
  <c r="BE89" i="2"/>
  <c r="BI100" i="2" s="1"/>
  <c r="BJ88" i="2"/>
  <c r="BI88" i="2"/>
  <c r="BE88" i="2"/>
  <c r="BI89" i="2" s="1"/>
  <c r="BE87" i="2"/>
  <c r="BI87" i="2" s="1"/>
  <c r="BC84" i="2"/>
  <c r="BC79" i="2"/>
  <c r="BC78" i="2"/>
  <c r="BJ92" i="2" s="1"/>
  <c r="BK92" i="2" s="1"/>
  <c r="BB73" i="2"/>
  <c r="BB72" i="2"/>
  <c r="BB71" i="2"/>
  <c r="BB70" i="2"/>
  <c r="BH69" i="2"/>
  <c r="BB69" i="2"/>
  <c r="BB65" i="2"/>
  <c r="BJ94" i="2" s="1"/>
  <c r="BB64" i="2"/>
  <c r="BJ91" i="2" s="1"/>
  <c r="BB63" i="2"/>
  <c r="BJ90" i="2" s="1"/>
  <c r="BB62" i="2"/>
  <c r="BJ101" i="2" s="1"/>
  <c r="BK101" i="2" s="1"/>
  <c r="BB61" i="2"/>
  <c r="BJ100" i="2" s="1"/>
  <c r="BK100" i="2" s="1"/>
  <c r="BB60" i="2"/>
  <c r="BJ99" i="2" s="1"/>
  <c r="BB59" i="2"/>
  <c r="BB58" i="2" s="1"/>
  <c r="BA57" i="2"/>
  <c r="BE54" i="2"/>
  <c r="BA54" i="2"/>
  <c r="BE53" i="2"/>
  <c r="BE50" i="2" s="1"/>
  <c r="BE46" i="2" s="1"/>
  <c r="BB52" i="2"/>
  <c r="BB51" i="2"/>
  <c r="BB50" i="2"/>
  <c r="BB49" i="2"/>
  <c r="BA49" i="2"/>
  <c r="BC48" i="2"/>
  <c r="BA48" i="2" s="1"/>
  <c r="BF46" i="2"/>
  <c r="BD46" i="2"/>
  <c r="BA45" i="2"/>
  <c r="BA43" i="2" s="1"/>
  <c r="BF43" i="2"/>
  <c r="BE43" i="2"/>
  <c r="BD43" i="2"/>
  <c r="BC43" i="2"/>
  <c r="BB43" i="2"/>
  <c r="BB42" i="2"/>
  <c r="BA42" i="2"/>
  <c r="BE40" i="2"/>
  <c r="BE39" i="2"/>
  <c r="BC39" i="2"/>
  <c r="BB39" i="2"/>
  <c r="BB37" i="2"/>
  <c r="BE36" i="2"/>
  <c r="BB36" i="2"/>
  <c r="BA36" i="2" s="1"/>
  <c r="BB34" i="2"/>
  <c r="BE33" i="2"/>
  <c r="BB33" i="2"/>
  <c r="BA33" i="2" s="1"/>
  <c r="BF32" i="2"/>
  <c r="BE32" i="2"/>
  <c r="BD32" i="2"/>
  <c r="BD31" i="2" s="1"/>
  <c r="BC32" i="2"/>
  <c r="BF31" i="2"/>
  <c r="BF30" i="2" s="1"/>
  <c r="BC31" i="2"/>
  <c r="BA28" i="2"/>
  <c r="BE25" i="2"/>
  <c r="BA25" i="2" s="1"/>
  <c r="BC23" i="2"/>
  <c r="BC22" i="2"/>
  <c r="BC20" i="2" s="1"/>
  <c r="BC21" i="2"/>
  <c r="BA19" i="2"/>
  <c r="BE18" i="2"/>
  <c r="BA18" i="2"/>
  <c r="BE17" i="2"/>
  <c r="BA17" i="2"/>
  <c r="BE16" i="2"/>
  <c r="BB14" i="2"/>
  <c r="BB13" i="2"/>
  <c r="BB12" i="2" s="1"/>
  <c r="BE12" i="2"/>
  <c r="BE10" i="2"/>
  <c r="BA10" i="2"/>
  <c r="BF9" i="2"/>
  <c r="BD9" i="2"/>
  <c r="BJ101" i="12"/>
  <c r="BJ99" i="12"/>
  <c r="BK99" i="12"/>
  <c r="BC48" i="12"/>
  <c r="BJ91" i="12"/>
  <c r="BJ90" i="12"/>
  <c r="BJ89" i="12"/>
  <c r="BC23" i="12"/>
  <c r="BE31" i="2" l="1"/>
  <c r="BA39" i="2"/>
  <c r="BA31" i="2" s="1"/>
  <c r="BA32" i="2"/>
  <c r="BE9" i="2"/>
  <c r="BF121" i="2"/>
  <c r="BA50" i="2"/>
  <c r="BK88" i="2"/>
  <c r="BK90" i="2"/>
  <c r="BD30" i="2"/>
  <c r="BD121" i="2" s="1"/>
  <c r="BK91" i="2"/>
  <c r="BA46" i="2"/>
  <c r="BK99" i="2"/>
  <c r="BK102" i="2" s="1"/>
  <c r="BJ102" i="2"/>
  <c r="BL101" i="2"/>
  <c r="BC9" i="2"/>
  <c r="BA20" i="2"/>
  <c r="BB9" i="2"/>
  <c r="BA12" i="2"/>
  <c r="BA9" i="2" s="1"/>
  <c r="BI95" i="2"/>
  <c r="BL100" i="2"/>
  <c r="BK94" i="2"/>
  <c r="BB32" i="2"/>
  <c r="BB31" i="2" s="1"/>
  <c r="BB46" i="2"/>
  <c r="BC58" i="2"/>
  <c r="BJ87" i="2"/>
  <c r="BJ89" i="2"/>
  <c r="BK89" i="2" s="1"/>
  <c r="BC46" i="2"/>
  <c r="BE58" i="2"/>
  <c r="BI96" i="2" s="1"/>
  <c r="BI99" i="2"/>
  <c r="F24" i="5"/>
  <c r="E24" i="5"/>
  <c r="BE94" i="12"/>
  <c r="BE36" i="12"/>
  <c r="BE33" i="12"/>
  <c r="BE16" i="12"/>
  <c r="BB30" i="2" l="1"/>
  <c r="BB121" i="2" s="1"/>
  <c r="BJ95" i="2"/>
  <c r="BJ96" i="2" s="1"/>
  <c r="BC30" i="2"/>
  <c r="BC121" i="2" s="1"/>
  <c r="BI102" i="2"/>
  <c r="BL99" i="2"/>
  <c r="BA58" i="2"/>
  <c r="BK87" i="2"/>
  <c r="BK95" i="2" s="1"/>
  <c r="BE30" i="2"/>
  <c r="BE121" i="2" s="1"/>
  <c r="BA48" i="8"/>
  <c r="BA47" i="8"/>
  <c r="BA46" i="8"/>
  <c r="BA45" i="8"/>
  <c r="BA44" i="8"/>
  <c r="BA43" i="8"/>
  <c r="BA42" i="8"/>
  <c r="BA41" i="8"/>
  <c r="BE38" i="8"/>
  <c r="BB38" i="8"/>
  <c r="BA38" i="8" s="1"/>
  <c r="BA37" i="8"/>
  <c r="BE34" i="8"/>
  <c r="BE30" i="8" s="1"/>
  <c r="BB33" i="8"/>
  <c r="BA33" i="8"/>
  <c r="BB32" i="8"/>
  <c r="BB30" i="8" s="1"/>
  <c r="BF30" i="8"/>
  <c r="BD30" i="8"/>
  <c r="BC30" i="8"/>
  <c r="BA29" i="8"/>
  <c r="BA27" i="8" s="1"/>
  <c r="BF27" i="8"/>
  <c r="BE27" i="8"/>
  <c r="BD27" i="8"/>
  <c r="BC27" i="8"/>
  <c r="BB27" i="8"/>
  <c r="BB26" i="8"/>
  <c r="BA26" i="8"/>
  <c r="BE25" i="8"/>
  <c r="BC25" i="8"/>
  <c r="BB25" i="8"/>
  <c r="BA25" i="8"/>
  <c r="BE24" i="8"/>
  <c r="BB24" i="8"/>
  <c r="BA24" i="8"/>
  <c r="BE23" i="8"/>
  <c r="BE22" i="8" s="1"/>
  <c r="BE21" i="8" s="1"/>
  <c r="BB23" i="8"/>
  <c r="BA23" i="8" s="1"/>
  <c r="BA22" i="8" s="1"/>
  <c r="BA21" i="8" s="1"/>
  <c r="BF22" i="8"/>
  <c r="BF21" i="8" s="1"/>
  <c r="BF20" i="8" s="1"/>
  <c r="BF49" i="8" s="1"/>
  <c r="BD22" i="8"/>
  <c r="BC22" i="8"/>
  <c r="BB22" i="8"/>
  <c r="BB21" i="8" s="1"/>
  <c r="BB20" i="8" s="1"/>
  <c r="BB49" i="8" s="1"/>
  <c r="BD21" i="8"/>
  <c r="BD20" i="8" s="1"/>
  <c r="BD49" i="8" s="1"/>
  <c r="BC21" i="8"/>
  <c r="BC20" i="8" s="1"/>
  <c r="BC49" i="8" s="1"/>
  <c r="BA18" i="8"/>
  <c r="BA17" i="8"/>
  <c r="BC16" i="8"/>
  <c r="BA16" i="8"/>
  <c r="BA15" i="8"/>
  <c r="BE14" i="8"/>
  <c r="BA14" i="8"/>
  <c r="BE13" i="8"/>
  <c r="BA13" i="8" s="1"/>
  <c r="BE12" i="8"/>
  <c r="BB12" i="8"/>
  <c r="BA12" i="8"/>
  <c r="BE10" i="8"/>
  <c r="BA10" i="8" s="1"/>
  <c r="BA9" i="8" s="1"/>
  <c r="BF9" i="8"/>
  <c r="BD9" i="8"/>
  <c r="BC9" i="8"/>
  <c r="BB9" i="8"/>
  <c r="BA48" i="7"/>
  <c r="BA47" i="7"/>
  <c r="BA46" i="7"/>
  <c r="BA45" i="7"/>
  <c r="BA44" i="7"/>
  <c r="BA43" i="7"/>
  <c r="BA42" i="7"/>
  <c r="BA41" i="7"/>
  <c r="BE38" i="7"/>
  <c r="BC38" i="7"/>
  <c r="BB38" i="7"/>
  <c r="BA38" i="7" s="1"/>
  <c r="BA37" i="7"/>
  <c r="BE34" i="7"/>
  <c r="BA34" i="7"/>
  <c r="BB33" i="7"/>
  <c r="BA33" i="7"/>
  <c r="BB32" i="7"/>
  <c r="BA32" i="7"/>
  <c r="BF30" i="7"/>
  <c r="BE30" i="7"/>
  <c r="BD30" i="7"/>
  <c r="BC30" i="7"/>
  <c r="BB30" i="7"/>
  <c r="BA30" i="7"/>
  <c r="BA29" i="7"/>
  <c r="BA27" i="7" s="1"/>
  <c r="BF27" i="7"/>
  <c r="BE27" i="7"/>
  <c r="BD27" i="7"/>
  <c r="BC27" i="7"/>
  <c r="BB27" i="7"/>
  <c r="BB26" i="7"/>
  <c r="BA26" i="7" s="1"/>
  <c r="BE25" i="7"/>
  <c r="BC25" i="7"/>
  <c r="BB25" i="7"/>
  <c r="BA25" i="7" s="1"/>
  <c r="BE24" i="7"/>
  <c r="BE22" i="7" s="1"/>
  <c r="BE21" i="7" s="1"/>
  <c r="BE20" i="7" s="1"/>
  <c r="BE49" i="7" s="1"/>
  <c r="BB24" i="7"/>
  <c r="BA24" i="7"/>
  <c r="BE23" i="7"/>
  <c r="BB23" i="7"/>
  <c r="BA23" i="7" s="1"/>
  <c r="BA22" i="7" s="1"/>
  <c r="BA21" i="7" s="1"/>
  <c r="BA20" i="7" s="1"/>
  <c r="BF22" i="7"/>
  <c r="BF21" i="7" s="1"/>
  <c r="BF20" i="7" s="1"/>
  <c r="BF49" i="7" s="1"/>
  <c r="BD22" i="7"/>
  <c r="BD21" i="7" s="1"/>
  <c r="BD20" i="7" s="1"/>
  <c r="BD49" i="7" s="1"/>
  <c r="BC22" i="7"/>
  <c r="BB22" i="7"/>
  <c r="BC21" i="7"/>
  <c r="BC20" i="7" s="1"/>
  <c r="BC49" i="7" s="1"/>
  <c r="BB21" i="7"/>
  <c r="BB20" i="7" s="1"/>
  <c r="BA18" i="7"/>
  <c r="BA17" i="7"/>
  <c r="BC16" i="7"/>
  <c r="BA16" i="7" s="1"/>
  <c r="BA15" i="7"/>
  <c r="BE14" i="7"/>
  <c r="BA14" i="7"/>
  <c r="BE13" i="7"/>
  <c r="BA13" i="7"/>
  <c r="BE12" i="7"/>
  <c r="BB12" i="7"/>
  <c r="BA12" i="7" s="1"/>
  <c r="BE10" i="7"/>
  <c r="BA10" i="7" s="1"/>
  <c r="BA9" i="7" s="1"/>
  <c r="BG9" i="7" s="1"/>
  <c r="BF9" i="7"/>
  <c r="BE9" i="7"/>
  <c r="BD9" i="7"/>
  <c r="BC9" i="7"/>
  <c r="BL102" i="2" l="1"/>
  <c r="BI103" i="2"/>
  <c r="BK103" i="2" s="1"/>
  <c r="BK96" i="2"/>
  <c r="BA30" i="2"/>
  <c r="BE20" i="8"/>
  <c r="BE9" i="8"/>
  <c r="BA32" i="8"/>
  <c r="BA34" i="8"/>
  <c r="BA49" i="7"/>
  <c r="BB9" i="7"/>
  <c r="BB49" i="7" s="1"/>
  <c r="BA121" i="2" l="1"/>
  <c r="BG7" i="2"/>
  <c r="BE49" i="8"/>
  <c r="BA30" i="8"/>
  <c r="BA20" i="8" s="1"/>
  <c r="BA49" i="8" l="1"/>
  <c r="BG9" i="8"/>
  <c r="BE12" i="12" l="1"/>
  <c r="BE9" i="12" s="1"/>
  <c r="BA17" i="12"/>
  <c r="BB12" i="12"/>
  <c r="BB64" i="12" l="1"/>
  <c r="BB63" i="12"/>
  <c r="BB62" i="12"/>
  <c r="BB61" i="12"/>
  <c r="BB60" i="12"/>
  <c r="BB39" i="12"/>
  <c r="BB71" i="12"/>
  <c r="BB70" i="12"/>
  <c r="BB69" i="12"/>
  <c r="BB73" i="12"/>
  <c r="BB72" i="12"/>
  <c r="BE54" i="12"/>
  <c r="BE91" i="12"/>
  <c r="BB13" i="12" l="1"/>
  <c r="BB37" i="12"/>
  <c r="BB34" i="12"/>
  <c r="BE93" i="12" l="1"/>
  <c r="BE107" i="12"/>
  <c r="BE10" i="12"/>
  <c r="C9" i="4" l="1"/>
  <c r="C12" i="4" l="1"/>
  <c r="AY108" i="12" l="1"/>
  <c r="BE92" i="12"/>
  <c r="BE87" i="12"/>
  <c r="BE106" i="12"/>
  <c r="BE105" i="12"/>
  <c r="BE104" i="12"/>
  <c r="BE103" i="12"/>
  <c r="BB65" i="12"/>
  <c r="C24" i="4" l="1"/>
  <c r="C21" i="4"/>
  <c r="C20" i="4"/>
  <c r="C19" i="4"/>
  <c r="C16" i="4"/>
  <c r="C6" i="4" l="1"/>
  <c r="C10" i="4" l="1"/>
  <c r="C7" i="4"/>
  <c r="BB52" i="12" l="1"/>
  <c r="BI113" i="12" l="1"/>
  <c r="BH111" i="12"/>
  <c r="BE100" i="12" l="1"/>
  <c r="BE117" i="12"/>
  <c r="BE102" i="12" l="1"/>
  <c r="BE90" i="12"/>
  <c r="BE89" i="12"/>
  <c r="BE88" i="12"/>
  <c r="BB117" i="12"/>
  <c r="F18" i="5" l="1"/>
  <c r="E18" i="5"/>
  <c r="F21" i="5"/>
  <c r="E21" i="5"/>
  <c r="F17" i="5"/>
  <c r="E17" i="5"/>
  <c r="F16" i="5"/>
  <c r="E16" i="5"/>
  <c r="F14" i="5"/>
  <c r="E14" i="5"/>
  <c r="BH69" i="12"/>
  <c r="BB50" i="12"/>
  <c r="BB51" i="12"/>
  <c r="BB49" i="12"/>
  <c r="BB59" i="12"/>
  <c r="BB42" i="12"/>
  <c r="BB14" i="12"/>
  <c r="BC78" i="12"/>
  <c r="BC79" i="12"/>
  <c r="BC84" i="12"/>
  <c r="BC39" i="12"/>
  <c r="BC22" i="12"/>
  <c r="BC21" i="12"/>
  <c r="BE17" i="12"/>
  <c r="BE18" i="12"/>
  <c r="BE40" i="12"/>
  <c r="BE39" i="12"/>
  <c r="BI93" i="12"/>
  <c r="BJ92" i="12"/>
  <c r="AY106" i="12"/>
  <c r="BE95" i="12"/>
  <c r="BE101" i="12"/>
  <c r="F20" i="5"/>
  <c r="E20" i="5"/>
  <c r="BE53" i="12" l="1"/>
  <c r="BJ94" i="12" l="1"/>
  <c r="BB36" i="12" l="1"/>
  <c r="BE50" i="12" l="1"/>
  <c r="BJ88" i="12"/>
  <c r="BC58" i="12"/>
  <c r="BB33" i="12"/>
  <c r="BB32" i="12" s="1"/>
  <c r="BB31" i="12" s="1"/>
  <c r="BE99" i="12"/>
  <c r="BI94" i="12" s="1"/>
  <c r="BE32" i="12"/>
  <c r="BJ87" i="12"/>
  <c r="BI100" i="12"/>
  <c r="BI101" i="12"/>
  <c r="BA118" i="12"/>
  <c r="BA117" i="12"/>
  <c r="BA116" i="12"/>
  <c r="BA115" i="12"/>
  <c r="BA114" i="12"/>
  <c r="BA113" i="12"/>
  <c r="BA112" i="12"/>
  <c r="BA111" i="12"/>
  <c r="BJ107" i="12"/>
  <c r="BJ93" i="12"/>
  <c r="BI90" i="12"/>
  <c r="BI88" i="12"/>
  <c r="BI87" i="12"/>
  <c r="BA57" i="12"/>
  <c r="BA54" i="12"/>
  <c r="BB46" i="12"/>
  <c r="BA49" i="12"/>
  <c r="BA48" i="12"/>
  <c r="BF46" i="12"/>
  <c r="BD46" i="12"/>
  <c r="BC46" i="12"/>
  <c r="BA45" i="12"/>
  <c r="BF43" i="12"/>
  <c r="BE43" i="12"/>
  <c r="BD43" i="12"/>
  <c r="BC43" i="12"/>
  <c r="BB43" i="12"/>
  <c r="BA43" i="12"/>
  <c r="BA42" i="12"/>
  <c r="BA36" i="12"/>
  <c r="BF32" i="12"/>
  <c r="BF31" i="12" s="1"/>
  <c r="BD32" i="12"/>
  <c r="BD31" i="12" s="1"/>
  <c r="BC32" i="12"/>
  <c r="BA28" i="12"/>
  <c r="BE25" i="12"/>
  <c r="BA25" i="12" s="1"/>
  <c r="BC20" i="12"/>
  <c r="BA19" i="12"/>
  <c r="BA18" i="12"/>
  <c r="BA10" i="12"/>
  <c r="BF9" i="12"/>
  <c r="BD9" i="12"/>
  <c r="BE58" i="12" l="1"/>
  <c r="BK92" i="12"/>
  <c r="D19" i="5" s="1"/>
  <c r="BI91" i="12"/>
  <c r="BK91" i="12" s="1"/>
  <c r="D18" i="5" s="1"/>
  <c r="BJ95" i="12"/>
  <c r="BE46" i="12"/>
  <c r="BA33" i="12"/>
  <c r="BA32" i="12" s="1"/>
  <c r="BE31" i="12"/>
  <c r="BJ100" i="12"/>
  <c r="BA39" i="12"/>
  <c r="BI89" i="12"/>
  <c r="BK88" i="12"/>
  <c r="D15" i="5" s="1"/>
  <c r="BB58" i="12"/>
  <c r="BB30" i="12" s="1"/>
  <c r="BC31" i="12"/>
  <c r="BC30" i="12" s="1"/>
  <c r="BA50" i="12"/>
  <c r="BA46" i="12" s="1"/>
  <c r="BK93" i="12"/>
  <c r="D20" i="5" s="1"/>
  <c r="BK94" i="12"/>
  <c r="D21" i="5" s="1"/>
  <c r="BD30" i="12"/>
  <c r="BD121" i="12" s="1"/>
  <c r="BF30" i="12"/>
  <c r="BF121" i="12" s="1"/>
  <c r="BK90" i="12"/>
  <c r="D17" i="5" s="1"/>
  <c r="BA12" i="12"/>
  <c r="BA20" i="12"/>
  <c r="BC9" i="12"/>
  <c r="BK87" i="12"/>
  <c r="D14" i="5" s="1"/>
  <c r="BI99" i="12"/>
  <c r="BI102" i="12" s="1"/>
  <c r="BB9" i="12"/>
  <c r="BA9" i="12" l="1"/>
  <c r="BI95" i="12"/>
  <c r="BI96" i="12" s="1"/>
  <c r="BL99" i="12"/>
  <c r="BE30" i="12"/>
  <c r="BE121" i="12" s="1"/>
  <c r="BK89" i="12"/>
  <c r="BL101" i="12"/>
  <c r="BK101" i="12"/>
  <c r="BK100" i="12"/>
  <c r="BL100" i="12"/>
  <c r="BJ102" i="12"/>
  <c r="BJ96" i="12"/>
  <c r="BA31" i="12"/>
  <c r="BC121" i="12"/>
  <c r="BB121" i="12"/>
  <c r="BA58" i="12"/>
  <c r="I21" i="5"/>
  <c r="I18" i="5"/>
  <c r="I16" i="5"/>
  <c r="H17" i="5"/>
  <c r="H16" i="5"/>
  <c r="E12" i="5"/>
  <c r="H12" i="5" s="1"/>
  <c r="I20" i="5"/>
  <c r="I19" i="5"/>
  <c r="I17" i="5"/>
  <c r="I15" i="5"/>
  <c r="I14" i="5"/>
  <c r="H21" i="5"/>
  <c r="H20" i="5"/>
  <c r="H19" i="5"/>
  <c r="H18" i="5"/>
  <c r="H15" i="5"/>
  <c r="BK95" i="12" l="1"/>
  <c r="BK96" i="12" s="1"/>
  <c r="D16" i="5"/>
  <c r="D12" i="5" s="1"/>
  <c r="D24" i="5" s="1"/>
  <c r="BA30" i="12"/>
  <c r="BA121" i="12" s="1"/>
  <c r="BK102" i="12"/>
  <c r="BI103" i="12"/>
  <c r="BK103" i="12" s="1"/>
  <c r="BL102" i="12"/>
  <c r="H14" i="5"/>
  <c r="F12" i="5"/>
  <c r="BG7" i="12" l="1"/>
  <c r="G19" i="5"/>
  <c r="G17" i="5"/>
  <c r="G15" i="5"/>
  <c r="G14" i="5" l="1"/>
  <c r="G18" i="5"/>
  <c r="G21" i="5"/>
  <c r="G20" i="5"/>
  <c r="G16" i="5" l="1"/>
  <c r="G12" i="5" s="1"/>
  <c r="I12" i="5"/>
  <c r="C14" i="4"/>
  <c r="C13" i="4" s="1"/>
</calcChain>
</file>

<file path=xl/comments1.xml><?xml version="1.0" encoding="utf-8"?>
<comments xmlns="http://schemas.openxmlformats.org/spreadsheetml/2006/main">
  <authors>
    <author>глав.бух.</author>
  </authors>
  <commentList>
    <comment ref="F24" authorId="0">
      <text>
        <r>
          <rPr>
            <b/>
            <sz val="10"/>
            <color indexed="81"/>
            <rFont val="Tahoma"/>
            <family val="2"/>
            <charset val="204"/>
          </rPr>
          <t>глав.бух.: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<sst xmlns="http://schemas.openxmlformats.org/spreadsheetml/2006/main" count="783" uniqueCount="253">
  <si>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</si>
  <si>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</si>
  <si>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</si>
  <si>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</si>
  <si>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</si>
  <si>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</si>
  <si>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</si>
  <si>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</si>
  <si>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</si>
  <si>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</si>
  <si>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их них гранты</t>
  </si>
  <si>
    <t/>
  </si>
  <si>
    <t>из них:</t>
  </si>
  <si>
    <t>244</t>
  </si>
  <si>
    <t>112</t>
  </si>
  <si>
    <t>111</t>
  </si>
  <si>
    <t>119</t>
  </si>
  <si>
    <t>321</t>
  </si>
  <si>
    <t>852</t>
  </si>
  <si>
    <t>853</t>
  </si>
  <si>
    <t>113</t>
  </si>
  <si>
    <t>851</t>
  </si>
  <si>
    <t>Остаток средств на начало года</t>
  </si>
  <si>
    <t>500</t>
  </si>
  <si>
    <t>Остаток средств на конец года</t>
  </si>
  <si>
    <t>600</t>
  </si>
  <si>
    <t>Всего</t>
  </si>
  <si>
    <t>Поступления от доходов, всего:</t>
  </si>
  <si>
    <t>х</t>
  </si>
  <si>
    <t>код субсидии 2019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</si>
  <si>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</si>
  <si>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 пеней, иных сумм принудительного изъятия</t>
  </si>
  <si>
    <t>доходы от оказания услуг (работ)</t>
  </si>
  <si>
    <t>иные субсидии, предоставленные из бюджета</t>
  </si>
  <si>
    <t>прочие доходы</t>
  </si>
  <si>
    <t>доходы от операций с активами</t>
  </si>
  <si>
    <t>МЗ 4000, 4291, код субсидии 2001, 2011</t>
  </si>
  <si>
    <t>150</t>
  </si>
  <si>
    <t>иные субсидии КВФО 5 (5000, 5114, 5115, 5154), кап вложения</t>
  </si>
  <si>
    <t>Выплаты по расходам, всего:</t>
  </si>
  <si>
    <t>в том числе на:
выплату персоналу
всего:</t>
  </si>
  <si>
    <t>из них:
оплата труда и начисления на выплаты по оплате труда</t>
  </si>
  <si>
    <t>социальные и иные выплаты населению, 
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</si>
  <si>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</si>
  <si>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</si>
  <si>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</si>
  <si>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
всего:</t>
  </si>
  <si>
    <t>из них:
увеличение остатков средств</t>
  </si>
  <si>
    <t>прочие поступления</t>
  </si>
  <si>
    <t>Выбытие финансовых активов, всего</t>
  </si>
  <si>
    <t>из них:
уменьшение остатков средств</t>
  </si>
  <si>
    <t>прочие выбытия</t>
  </si>
  <si>
    <t xml:space="preserve">         в том числе: доходы от собственности</t>
  </si>
  <si>
    <t>440</t>
  </si>
  <si>
    <t>расходы на закупку товаров, работ, услуг,
всего</t>
  </si>
  <si>
    <t>417</t>
  </si>
  <si>
    <t>КАП ВЛОЖЕНИЯ</t>
  </si>
  <si>
    <t>ПРОВЕРКА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</si>
  <si>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</si>
  <si>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</si>
  <si>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</si>
  <si>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</si>
  <si>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</si>
  <si>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</si>
  <si>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КОДЫ</t>
  </si>
  <si>
    <t>Форма по КФД</t>
  </si>
  <si>
    <t>Дата</t>
  </si>
  <si>
    <t>по ОКПО</t>
  </si>
  <si>
    <t>ИНН/КПП</t>
  </si>
  <si>
    <t>по ОКЕИ</t>
  </si>
  <si>
    <t>383</t>
  </si>
  <si>
    <t>20</t>
  </si>
  <si>
    <t>г.</t>
  </si>
  <si>
    <t>СОГЛАСОВАНО</t>
  </si>
  <si>
    <t>(наименование должности лица, согласующего документ)</t>
  </si>
  <si>
    <t xml:space="preserve">Наименование муниципального
учреждения
</t>
  </si>
  <si>
    <t>Наименование органа, осуществляющего
функции главного распорядителя бюджетных средств:</t>
  </si>
  <si>
    <t>I. Сведения о деятельности муниципального учреждения</t>
  </si>
  <si>
    <t>Единица измерения: руб. (с точностью до</t>
  </si>
  <si>
    <t>второго десятичного знака)</t>
  </si>
  <si>
    <t>II. Показатели финансового состояния муниципального учреждения</t>
  </si>
  <si>
    <t>N п/п</t>
  </si>
  <si>
    <t>Сумма, тыс. руб.</t>
  </si>
  <si>
    <t>Нефинансовые активы, всего:</t>
  </si>
  <si>
    <t>из них: 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</si>
  <si>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</si>
  <si>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</si>
  <si>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</si>
  <si>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</si>
  <si>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</si>
  <si>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</si>
  <si>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</si>
  <si>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</si>
  <si>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</si>
  <si>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</si>
  <si>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</si>
  <si>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</si>
  <si>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</si>
  <si>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выплат по расходам</t>
  </si>
  <si>
    <t xml:space="preserve">на закупку товаров, работ, услуг муниципального учреждения </t>
  </si>
  <si>
    <t>Наименова-ние показателя</t>
  </si>
  <si>
    <t>Код стро-ки</t>
  </si>
  <si>
    <t>Год начала закуп-ки</t>
  </si>
  <si>
    <t>Сумма выплат по расходам на закупку товаров, работ и услуг, руб.</t>
  </si>
  <si>
    <t>(с точностью до двух знаков после запятой - 0,00</t>
  </si>
  <si>
    <t>всего на закупки</t>
  </si>
  <si>
    <t>в соответствии с Федеральным законом от 05.042013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</si>
  <si>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</si>
  <si>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</si>
  <si>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</si>
  <si>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</si>
  <si>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</si>
  <si>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Сведения о средствах, поступающих</t>
  </si>
  <si>
    <t xml:space="preserve">во временное распоряжение муниципального учреждения </t>
  </si>
  <si>
    <t xml:space="preserve">очередной финансовый год   </t>
  </si>
  <si>
    <t>Сумма</t>
  </si>
  <si>
    <t>(руб., с точностью до двух знаков после запятой - 0,00)</t>
  </si>
  <si>
    <t>Поступление</t>
  </si>
  <si>
    <t>Выбытие</t>
  </si>
  <si>
    <t>Справочная информация</t>
  </si>
  <si>
    <t xml:space="preserve">Сумма </t>
  </si>
  <si>
    <t>(тыс.руб.)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</si>
  <si>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</si>
  <si>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</si>
  <si>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муниципального учреждения</t>
  </si>
  <si>
    <t xml:space="preserve">Заместитель руководителя </t>
  </si>
  <si>
    <t>по финансовым вопросам</t>
  </si>
  <si>
    <t xml:space="preserve">(подпись) </t>
  </si>
  <si>
    <t>(расшифровка  подписи)</t>
  </si>
  <si>
    <t xml:space="preserve">Исполнитель  </t>
  </si>
  <si>
    <t>_______________</t>
  </si>
  <si>
    <t>13774654</t>
  </si>
  <si>
    <t>муниципальное бюджетное учреждение дополнительного образования  специализированная детско-юношеская спортивная школа олимпийского резерва № 4 "Шахматы" городского округа Тольятти (МБУДО СДЮСШОР № 4 "Шахматы")</t>
  </si>
  <si>
    <t>6323069628 / 632101001</t>
  </si>
  <si>
    <t xml:space="preserve">1.1. Цели деятельности муниципального учреждения:
* создание условий для популяризации физической культуры и спорта на территории городского округа Тольятти;
* образовательная деятельность по дополнительным общеобразовательным программам;
* осуществление спортивной подготовки;
* выявление и отбор наиболее одаренных детей и подростков, созидание условий для прохождения спортивной подготовки, подготовка спортсменов высокой квалификации;
*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здоровья;
* организация свободного времени населения и удовлетворение его потребностей в услугах, оказываемых в сфере физической культуры и спорта, в том числе инвалидам.
</t>
  </si>
  <si>
    <t>-</t>
  </si>
  <si>
    <t xml:space="preserve"> </t>
  </si>
  <si>
    <t>1.2. Виды деятельности муниципального учреждения:
* обучение по дополнительным общеобразовательным программам физкультурно-спортивной направленности, по дополнительным предпрофессиональным программам в области физической культуры и спорта по виду спорта: "шахматы";
* спортивная подготовка по виду спорта: "шахматы";
* деятельность в области физической культуры и спорта;
* организация и проведение на территории городского округа Тольятти физкультурных и спортивных мероприятий;
* подготовка спортивного резерва и спортсменов высокого класса в соответствии с федеральными стандартами спортивной подготовки, в том числе из числа обучающихся с ограниченными возможностями здоровья, детей инвалидов и инвалидов;
* 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
* 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мероприятиях, направленных на организацию занятости населения, профилактику вредных привычек и правонарушений;
* организация и проведение теоретических, методических и практических семинаров, семинаров спортивных судей, коллегий, совещаний, по вопросам, относящимся к сфере физической культуры и спорта;
* обеспечение отдыха обучающихся в каникулярный период;
* разработка методической, теоретической, справочной, информационной документации.</t>
  </si>
  <si>
    <t>1.3. Перечень услуг (работ), осуществляемых на платной основе:
* деятельность по организации отдыха и развлечений;
* физкультурно-оздоровительная деятельность, реализация физкультурно-оздоровительной и спортивной продукции;
* 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
* деятельность в области спортивно-оздоровительных комплексов, лечебно-воспитательных и диагностических кабинетов, реабилитационных комплексов;
* проведение мероприятий по повышению квалификации тренеров и судей;
* организация изготовления официальной и наградной атрибутики с символикой, эмблемы, флаги, вымпела, товарного знака;
* осуществление рекламно-информационной деятельности в области физической культуры и спорта, организация издания учебных, методических и справочно-информационных материалов, оказание услуг в сфере питания;
* создание и организацию работы спортивных секций, групп физкультурно-оздоровительной направленности (фитнес клубы, тренажерный зал);
* организация показов кинофильмов;
* доходы от спортивной базы (реализация путевок);
* иные источники доходов, не запрещенные действующим законодательством РФ;
* реализация билетов на спортивно-массовые мероприятия;
* услуги по ремонту спортивно-технического оборудования и инвентаря;
* прокат спортивного снаряжения, инвентаря, оборудования, оргтехники, бытовых изделий;
* предоставление в безвозмездное пользование и аренду имущества, закрепленного за Учреждением на праве оперативного управления, для обеспечения основных целей деятельности Учреждения;
* оказание платных образовательных услуг, выходящих за рамки финансируемых из бюджета образовательных программ, в том числе проведение платных занятий, обучение шахмат, в том числе детей младше 5 лет, а также обучение детей шахматам на ПК.</t>
  </si>
  <si>
    <t>Услуги связи КОСГУ 221</t>
  </si>
  <si>
    <t>Коомунальные услуги КОСГУ 223</t>
  </si>
  <si>
    <t>Работы, услуги по содержанию имущества КОСГУ 225</t>
  </si>
  <si>
    <t>Прочие работы, услуги КОСГУ 226</t>
  </si>
  <si>
    <t>Прочие расходы КОСГУ 290</t>
  </si>
  <si>
    <t>Увеличение стоимости основных средств КОСГУ 310</t>
  </si>
  <si>
    <t>Увеличение стоимости материальных запасов КОСГУ 340</t>
  </si>
  <si>
    <t>итого</t>
  </si>
  <si>
    <t>Транспортные расходы КОСГУ 222</t>
  </si>
  <si>
    <t xml:space="preserve">проверяет к.214 </t>
  </si>
  <si>
    <t>Проверяет к205</t>
  </si>
  <si>
    <t>проверяет к.205</t>
  </si>
  <si>
    <t>831</t>
  </si>
  <si>
    <t>внутренние данные для сверки, при распечатки скрыть !!!!</t>
  </si>
  <si>
    <t xml:space="preserve">Услуги по спортивной подготовке по видам спорта и реализации дополнительных общеобразовательных предпрофессиональных программ </t>
  </si>
  <si>
    <t>Стимулирующие субсидии на повышение заработной платы педагогических работников организаций дополнительного образования</t>
  </si>
  <si>
    <t>4000</t>
  </si>
  <si>
    <t>4291</t>
  </si>
  <si>
    <t>2001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</si>
  <si>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</t>
  </si>
  <si>
    <t>код субсидии 2019 - аренда</t>
  </si>
  <si>
    <t>2006</t>
  </si>
  <si>
    <t>косгу 212 пособия мамам, возм.медосмотра, ком.расходы тренера</t>
  </si>
  <si>
    <t>косгу 213 налоги с ЗП</t>
  </si>
  <si>
    <t>косгу 211  зп</t>
  </si>
  <si>
    <t>221</t>
  </si>
  <si>
    <t>223 т/э</t>
  </si>
  <si>
    <t>223 э/э</t>
  </si>
  <si>
    <t>223 вода</t>
  </si>
  <si>
    <t>225</t>
  </si>
  <si>
    <t>226</t>
  </si>
  <si>
    <t>340</t>
  </si>
  <si>
    <t>290</t>
  </si>
  <si>
    <t>офиц.соревнования</t>
  </si>
  <si>
    <t>223</t>
  </si>
  <si>
    <t>Китай</t>
  </si>
  <si>
    <t>222</t>
  </si>
  <si>
    <t>пособие мамам</t>
  </si>
  <si>
    <t>5154</t>
  </si>
  <si>
    <t>т/э</t>
  </si>
  <si>
    <t>э/э</t>
  </si>
  <si>
    <t>вода</t>
  </si>
  <si>
    <t>310</t>
  </si>
  <si>
    <t>от дтп</t>
  </si>
  <si>
    <t>косгу</t>
  </si>
  <si>
    <t>внебюджет</t>
  </si>
  <si>
    <t>4+5</t>
  </si>
  <si>
    <t>ТЭР 223</t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</si>
  <si>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2019 г.</t>
    </r>
  </si>
  <si>
    <t>экология</t>
  </si>
  <si>
    <t>"_____" ________________ 20___ г.</t>
  </si>
  <si>
    <t>к2001, госпошлины</t>
  </si>
  <si>
    <t>мз+дотация</t>
  </si>
  <si>
    <t>к4199</t>
  </si>
  <si>
    <t>5109</t>
  </si>
  <si>
    <t>оф.соревнования</t>
  </si>
  <si>
    <t>оф.сор</t>
  </si>
  <si>
    <t>сч205</t>
  </si>
  <si>
    <t>сч206</t>
  </si>
  <si>
    <t>сч302,303,208</t>
  </si>
  <si>
    <t>код субсидии 2021, 2006</t>
  </si>
  <si>
    <t>код субсидии 2009, 2010</t>
  </si>
  <si>
    <t>Управление физической культуры и спорта администрации городского округа Тольятти</t>
  </si>
  <si>
    <t>к.4000</t>
  </si>
  <si>
    <t>транспортный налог к.4000</t>
  </si>
  <si>
    <t>погашение исп.листов</t>
  </si>
  <si>
    <t>Главный бухгалтер</t>
  </si>
  <si>
    <t>О.В. Зайцева</t>
  </si>
  <si>
    <t>2026</t>
  </si>
  <si>
    <t>Прочие доходы (утилизация - металлолом)</t>
  </si>
  <si>
    <t>тел.:     55-83-06</t>
  </si>
  <si>
    <t>код субсидии 2006, 2009, 2010, 2026</t>
  </si>
  <si>
    <t>План финансово-хозяйственной деятельности на 2018 год 
и плановый период 2019-2020 г.г</t>
  </si>
  <si>
    <t>на 01.01.2018г.</t>
  </si>
  <si>
    <r>
      <t xml:space="preserve">III. Показатели по поступлениям и выплатам учреждения на     </t>
    </r>
    <r>
      <rPr>
        <b/>
        <u/>
        <sz val="8"/>
        <rFont val="Times New Roman"/>
        <family val="1"/>
        <charset val="204"/>
      </rPr>
      <t xml:space="preserve">  ___._____.</t>
    </r>
    <r>
      <rPr>
        <b/>
        <sz val="8"/>
        <rFont val="Times New Roman"/>
        <family val="1"/>
        <charset val="204"/>
      </rPr>
      <t>2018  г.</t>
    </r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</si>
  <si>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2020 г.</t>
    </r>
  </si>
  <si>
    <t>на   ____.______.2018г.</t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</si>
  <si>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</si>
  <si>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</si>
  <si>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</si>
  <si>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>на  _____.____.2018 г.</t>
  </si>
  <si>
    <t>ОСТАТКИ НА 01.01.18</t>
  </si>
  <si>
    <t>косгу 211</t>
  </si>
  <si>
    <t>косгу 213</t>
  </si>
  <si>
    <t>косгу 212</t>
  </si>
  <si>
    <t>косгу 212 мед.осмотр к2001</t>
  </si>
  <si>
    <t>пож.риски</t>
  </si>
  <si>
    <t>МЗ  (ост-ки на 01.01.)</t>
  </si>
  <si>
    <t>1.4. Общая балансовая стоимость недвижимого муниципального имущества на дату составления плана финансово-хозяйственной деятельности, всего: 
7 506 588,24руб.
в том числе:
- закрепленного собственником имущества за учреждением на праве оперативного управления: 7 506 588,24руб.
- приобретенного учреждением за счет выделенных собственником имущества учреждения средств: -
- приобретенного учреждением за счет доходов, полученных от иной приносящей доход деятельности: -</t>
  </si>
  <si>
    <t>Руководитель управления физической культуры и спорта администрации городского округа Тольятти</t>
  </si>
  <si>
    <t>А.Е. Герунов</t>
  </si>
  <si>
    <t>Директор
МБУДО СДЮСШОР № 4 "Шахматы"</t>
  </si>
  <si>
    <t>Г.Р. Салахова</t>
  </si>
  <si>
    <t xml:space="preserve">1.5. Общая балансовая стоимость движимого муниципального имущества на дату составления плана финансово-хозяйственной деятельности, всего: 3 538 833,45руб.
в том числе:
- балансовая стоимость особо ценного движимого имущества: 3 082 614,47руб.
</t>
  </si>
  <si>
    <t>косгу 296 по внебюджету- учащиеся выездные меропр.</t>
  </si>
  <si>
    <t>косгу 291 - налог на имущество</t>
  </si>
  <si>
    <t>косгу 291 - транспортный налог, госпошлины, экология (нужно на 853)</t>
  </si>
  <si>
    <r>
      <t xml:space="preserve">косгу 291 (5000,0р) </t>
    </r>
    <r>
      <rPr>
        <u/>
        <sz val="10"/>
        <rFont val="Arial"/>
        <family val="2"/>
        <charset val="204"/>
      </rPr>
      <t>по требованию</t>
    </r>
    <r>
      <rPr>
        <sz val="10"/>
        <rFont val="Arial"/>
        <family val="2"/>
        <charset val="204"/>
      </rPr>
      <t xml:space="preserve"> - % тэку, самараэнерго ИФО 2001
косгу 293 (5973,25р) пени по досуд.претензии кап.ремонт ИФО 2001</t>
    </r>
  </si>
  <si>
    <t>121</t>
  </si>
  <si>
    <t>131</t>
  </si>
  <si>
    <t>143</t>
  </si>
  <si>
    <t>183</t>
  </si>
  <si>
    <t>189</t>
  </si>
  <si>
    <t>доходы по условным арендным платежам</t>
  </si>
  <si>
    <t>МЗ 4000, 4291, код субсидии 2001</t>
  </si>
  <si>
    <t>135</t>
  </si>
  <si>
    <t>косгу 212, ком.расх.тренера, к2032</t>
  </si>
  <si>
    <t>5101</t>
  </si>
  <si>
    <t>5128</t>
  </si>
  <si>
    <t>исп.листы</t>
  </si>
  <si>
    <t>223 тэ</t>
  </si>
  <si>
    <r>
      <t xml:space="preserve">косгу 293+296 - </t>
    </r>
    <r>
      <rPr>
        <u/>
        <sz val="10"/>
        <rFont val="Arial"/>
        <family val="2"/>
        <charset val="204"/>
      </rPr>
      <t>по исп.листу</t>
    </r>
    <r>
      <rPr>
        <sz val="10"/>
        <rFont val="Arial"/>
        <family val="2"/>
        <charset val="204"/>
      </rPr>
      <t xml:space="preserve"> - %, госпошлины, пени по исп.листу </t>
    </r>
  </si>
  <si>
    <t>МЗ без Кт</t>
  </si>
  <si>
    <t>МЗ + иные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</si>
</sst>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_ ;\-#,##0.00\ "/>
    <numFmt numFmtId="166" formatCode="#,##0.0"/>
  </numFmts>
  <fonts count="29" x14ac:knownFonts="1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"/>
      <family val="2"/>
      <charset val="204"/>
    </font>
    <font>
      <sz val="8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75">
    <xf numFmtId="0" fontId="0" fillId="0" borderId="0" xfId="0"/>
    <xf numFmtId="0" fontId="2" fillId="0" borderId="0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top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" vertical="center" wrapText="1"/>
    </xf>
    <xf numFmtId="0" fontId="4" fillId="0" borderId="0" xfId="0" applyFont="1"/>
    <xf numFmtId="0" fontId="1" fillId="0" borderId="6" xfId="0" applyFont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9" fontId="1" fillId="3" borderId="1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horizontal="center" vertical="top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right" wrapText="1"/>
    </xf>
    <xf numFmtId="49" fontId="6" fillId="0" borderId="0" xfId="0" applyNumberFormat="1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0" fontId="0" fillId="0" borderId="0" xfId="0"/>
    <xf numFmtId="0" fontId="5" fillId="0" borderId="2" xfId="0" applyFont="1" applyBorder="1" applyAlignment="1" applyProtection="1">
      <alignment vertical="top"/>
    </xf>
    <xf numFmtId="49" fontId="6" fillId="0" borderId="1" xfId="0" applyNumberFormat="1" applyFont="1" applyBorder="1" applyAlignment="1" applyProtection="1"/>
    <xf numFmtId="0" fontId="5" fillId="0" borderId="0" xfId="0" applyFont="1" applyBorder="1" applyAlignment="1" applyProtection="1">
      <alignment horizontal="center" vertical="top"/>
    </xf>
    <xf numFmtId="0" fontId="0" fillId="0" borderId="0" xfId="0" applyBorder="1"/>
    <xf numFmtId="0" fontId="12" fillId="0" borderId="0" xfId="0" applyFont="1" applyBorder="1" applyAlignment="1" applyProtection="1"/>
    <xf numFmtId="0" fontId="11" fillId="0" borderId="0" xfId="0" applyFont="1" applyBorder="1" applyAlignment="1" applyProtection="1">
      <alignment wrapText="1"/>
    </xf>
    <xf numFmtId="0" fontId="13" fillId="0" borderId="0" xfId="0" applyFont="1"/>
    <xf numFmtId="0" fontId="11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center" vertical="top"/>
    </xf>
    <xf numFmtId="0" fontId="9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wrapText="1"/>
    </xf>
    <xf numFmtId="0" fontId="0" fillId="0" borderId="0" xfId="0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Border="1" applyAlignment="1">
      <alignment horizontal="left" vertical="top" wrapText="1" indent="1"/>
    </xf>
    <xf numFmtId="0" fontId="11" fillId="0" borderId="15" xfId="0" applyFont="1" applyBorder="1" applyAlignment="1">
      <alignment horizontal="left" vertical="top" wrapText="1" indent="3"/>
    </xf>
    <xf numFmtId="0" fontId="11" fillId="0" borderId="15" xfId="0" applyFont="1" applyBorder="1" applyAlignment="1">
      <alignment horizontal="left" vertical="top" wrapText="1" indent="2"/>
    </xf>
    <xf numFmtId="0" fontId="11" fillId="0" borderId="15" xfId="0" applyFont="1" applyBorder="1" applyAlignment="1">
      <alignment horizontal="left" vertical="top" wrapText="1" indent="4"/>
    </xf>
    <xf numFmtId="0" fontId="14" fillId="0" borderId="0" xfId="0" applyFont="1" applyAlignment="1">
      <alignment horizontal="justify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justify"/>
    </xf>
    <xf numFmtId="0" fontId="0" fillId="0" borderId="0" xfId="0" applyAlignment="1">
      <alignment vertical="top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0" fillId="0" borderId="1" xfId="0" applyBorder="1"/>
    <xf numFmtId="0" fontId="11" fillId="0" borderId="15" xfId="1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  <xf numFmtId="164" fontId="14" fillId="0" borderId="15" xfId="0" applyNumberFormat="1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164" fontId="11" fillId="0" borderId="15" xfId="0" applyNumberFormat="1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16" fillId="0" borderId="0" xfId="0" applyFont="1"/>
    <xf numFmtId="4" fontId="16" fillId="0" borderId="0" xfId="0" applyNumberFormat="1" applyFont="1" applyAlignment="1">
      <alignment horizontal="left"/>
    </xf>
    <xf numFmtId="164" fontId="1" fillId="0" borderId="15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4" fontId="0" fillId="0" borderId="0" xfId="0" applyNumberFormat="1"/>
    <xf numFmtId="164" fontId="1" fillId="3" borderId="15" xfId="0" applyNumberFormat="1" applyFont="1" applyFill="1" applyBorder="1" applyAlignment="1" applyProtection="1">
      <alignment horizontal="center" vertical="center"/>
    </xf>
    <xf numFmtId="164" fontId="11" fillId="0" borderId="15" xfId="0" applyNumberFormat="1" applyFont="1" applyBorder="1" applyAlignment="1">
      <alignment wrapText="1"/>
    </xf>
    <xf numFmtId="164" fontId="2" fillId="2" borderId="11" xfId="0" applyNumberFormat="1" applyFont="1" applyFill="1" applyBorder="1" applyAlignment="1" applyProtection="1">
      <alignment horizontal="center" vertical="center"/>
    </xf>
    <xf numFmtId="165" fontId="16" fillId="0" borderId="0" xfId="0" applyNumberFormat="1" applyFont="1" applyAlignment="1">
      <alignment horizontal="left"/>
    </xf>
    <xf numFmtId="164" fontId="0" fillId="0" borderId="0" xfId="0" applyNumberFormat="1"/>
    <xf numFmtId="0" fontId="17" fillId="0" borderId="0" xfId="0" applyFont="1" applyAlignment="1">
      <alignment textRotation="90" wrapText="1"/>
    </xf>
    <xf numFmtId="166" fontId="16" fillId="0" borderId="2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4" fillId="4" borderId="0" xfId="0" applyFont="1" applyFill="1"/>
    <xf numFmtId="0" fontId="4" fillId="4" borderId="15" xfId="0" applyFont="1" applyFill="1" applyBorder="1"/>
    <xf numFmtId="0" fontId="4" fillId="4" borderId="15" xfId="0" applyFont="1" applyFill="1" applyBorder="1" applyAlignment="1">
      <alignment horizontal="right"/>
    </xf>
    <xf numFmtId="4" fontId="20" fillId="4" borderId="15" xfId="0" applyNumberFormat="1" applyFont="1" applyFill="1" applyBorder="1"/>
    <xf numFmtId="164" fontId="4" fillId="4" borderId="15" xfId="0" applyNumberFormat="1" applyFont="1" applyFill="1" applyBorder="1" applyAlignment="1">
      <alignment horizontal="right"/>
    </xf>
    <xf numFmtId="164" fontId="4" fillId="4" borderId="15" xfId="0" applyNumberFormat="1" applyFont="1" applyFill="1" applyBorder="1"/>
    <xf numFmtId="0" fontId="4" fillId="4" borderId="15" xfId="0" applyFont="1" applyFill="1" applyBorder="1" applyAlignment="1">
      <alignment horizontal="center"/>
    </xf>
    <xf numFmtId="4" fontId="4" fillId="4" borderId="15" xfId="0" applyNumberFormat="1" applyFont="1" applyFill="1" applyBorder="1"/>
    <xf numFmtId="0" fontId="4" fillId="5" borderId="15" xfId="0" applyFont="1" applyFill="1" applyBorder="1"/>
    <xf numFmtId="0" fontId="22" fillId="5" borderId="15" xfId="0" applyFont="1" applyFill="1" applyBorder="1" applyAlignment="1">
      <alignment horizontal="center" vertical="top" wrapText="1"/>
    </xf>
    <xf numFmtId="164" fontId="22" fillId="5" borderId="15" xfId="0" applyNumberFormat="1" applyFont="1" applyFill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164" fontId="4" fillId="0" borderId="0" xfId="0" applyNumberFormat="1" applyFont="1" applyAlignment="1">
      <alignment vertical="center"/>
    </xf>
    <xf numFmtId="0" fontId="1" fillId="4" borderId="5" xfId="0" applyFont="1" applyFill="1" applyBorder="1" applyAlignment="1" applyProtection="1">
      <alignment horizontal="center" vertical="center" wrapText="1"/>
    </xf>
    <xf numFmtId="49" fontId="1" fillId="4" borderId="15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4" fillId="5" borderId="15" xfId="0" applyFont="1" applyFill="1" applyBorder="1" applyAlignment="1">
      <alignment horizontal="center"/>
    </xf>
    <xf numFmtId="4" fontId="4" fillId="0" borderId="0" xfId="0" applyNumberFormat="1" applyFont="1" applyAlignment="1">
      <alignment horizontal="center" vertical="top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center" vertical="top" wrapText="1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vertical="top" wrapText="1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 wrapText="1"/>
    </xf>
    <xf numFmtId="164" fontId="20" fillId="0" borderId="0" xfId="0" applyNumberFormat="1" applyFont="1" applyAlignment="1">
      <alignment vertical="center"/>
    </xf>
    <xf numFmtId="49" fontId="12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49" fontId="6" fillId="0" borderId="0" xfId="0" applyNumberFormat="1" applyFont="1" applyBorder="1" applyAlignment="1" applyProtection="1">
      <alignment horizontal="center" vertical="center"/>
    </xf>
    <xf numFmtId="164" fontId="9" fillId="0" borderId="15" xfId="0" applyNumberFormat="1" applyFont="1" applyBorder="1" applyAlignment="1">
      <alignment vertical="top" wrapText="1"/>
    </xf>
    <xf numFmtId="164" fontId="14" fillId="0" borderId="15" xfId="0" applyNumberFormat="1" applyFont="1" applyFill="1" applyBorder="1" applyAlignment="1">
      <alignment vertical="top" wrapText="1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4" fontId="21" fillId="0" borderId="0" xfId="0" applyNumberFormat="1" applyFont="1" applyFill="1" applyBorder="1"/>
    <xf numFmtId="0" fontId="4" fillId="0" borderId="0" xfId="0" applyFont="1" applyFill="1"/>
    <xf numFmtId="0" fontId="1" fillId="0" borderId="3" xfId="0" applyFont="1" applyBorder="1" applyAlignment="1" applyProtection="1">
      <alignment horizontal="center" wrapText="1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1" fillId="4" borderId="3" xfId="0" applyFont="1" applyFill="1" applyBorder="1" applyAlignment="1" applyProtection="1">
      <alignment horizontal="center" wrapText="1"/>
    </xf>
    <xf numFmtId="0" fontId="1" fillId="4" borderId="4" xfId="0" applyFont="1" applyFill="1" applyBorder="1" applyAlignment="1" applyProtection="1">
      <alignment vertical="top" wrapText="1"/>
    </xf>
    <xf numFmtId="4" fontId="4" fillId="4" borderId="0" xfId="0" applyNumberFormat="1" applyFont="1" applyFill="1"/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left"/>
    </xf>
    <xf numFmtId="164" fontId="25" fillId="2" borderId="15" xfId="0" applyNumberFormat="1" applyFont="1" applyFill="1" applyBorder="1" applyAlignment="1" applyProtection="1">
      <alignment horizontal="center" vertical="center"/>
    </xf>
    <xf numFmtId="164" fontId="26" fillId="2" borderId="15" xfId="0" applyNumberFormat="1" applyFont="1" applyFill="1" applyBorder="1" applyAlignment="1" applyProtection="1">
      <alignment horizontal="center" vertical="center"/>
    </xf>
    <xf numFmtId="164" fontId="26" fillId="0" borderId="15" xfId="0" applyNumberFormat="1" applyFont="1" applyBorder="1" applyAlignment="1" applyProtection="1">
      <alignment horizontal="center" vertical="center"/>
    </xf>
    <xf numFmtId="164" fontId="26" fillId="4" borderId="15" xfId="0" applyNumberFormat="1" applyFont="1" applyFill="1" applyBorder="1" applyAlignment="1" applyProtection="1">
      <alignment horizontal="center" vertical="center"/>
    </xf>
    <xf numFmtId="164" fontId="26" fillId="0" borderId="15" xfId="0" applyNumberFormat="1" applyFont="1" applyFill="1" applyBorder="1" applyAlignment="1" applyProtection="1">
      <alignment horizontal="center" vertical="center"/>
    </xf>
    <xf numFmtId="164" fontId="26" fillId="3" borderId="15" xfId="0" applyNumberFormat="1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left" vertical="top" wrapText="1"/>
    </xf>
    <xf numFmtId="0" fontId="1" fillId="4" borderId="2" xfId="0" applyFont="1" applyFill="1" applyBorder="1" applyAlignment="1" applyProtection="1">
      <alignment horizontal="left" vertical="top" wrapText="1"/>
    </xf>
    <xf numFmtId="0" fontId="1" fillId="4" borderId="9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center" wrapText="1"/>
    </xf>
    <xf numFmtId="0" fontId="1" fillId="0" borderId="15" xfId="0" applyFont="1" applyBorder="1" applyAlignment="1" applyProtection="1">
      <alignment horizontal="center" vertical="center" wrapText="1"/>
    </xf>
    <xf numFmtId="164" fontId="4" fillId="4" borderId="0" xfId="0" applyNumberFormat="1" applyFont="1" applyFill="1"/>
    <xf numFmtId="0" fontId="1" fillId="4" borderId="15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2" fillId="2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 vertical="top"/>
    </xf>
    <xf numFmtId="49" fontId="11" fillId="0" borderId="0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6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/>
    </xf>
    <xf numFmtId="49" fontId="12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1" fillId="3" borderId="5" xfId="0" applyFont="1" applyFill="1" applyBorder="1" applyAlignment="1" applyProtection="1">
      <alignment horizontal="left" vertical="top" wrapText="1"/>
    </xf>
    <xf numFmtId="0" fontId="1" fillId="4" borderId="3" xfId="0" applyFont="1" applyFill="1" applyBorder="1" applyAlignment="1" applyProtection="1">
      <alignment horizontal="right" wrapText="1"/>
    </xf>
    <xf numFmtId="0" fontId="1" fillId="4" borderId="4" xfId="0" applyFont="1" applyFill="1" applyBorder="1" applyAlignment="1" applyProtection="1">
      <alignment horizontal="right" wrapText="1"/>
    </xf>
    <xf numFmtId="0" fontId="1" fillId="4" borderId="5" xfId="0" applyFont="1" applyFill="1" applyBorder="1" applyAlignment="1" applyProtection="1">
      <alignment horizontal="right" wrapText="1"/>
    </xf>
    <xf numFmtId="0" fontId="1" fillId="0" borderId="4" xfId="0" applyFont="1" applyBorder="1" applyAlignment="1" applyProtection="1">
      <alignment horizontal="right" vertical="top" wrapText="1"/>
    </xf>
    <xf numFmtId="0" fontId="1" fillId="0" borderId="5" xfId="0" applyFont="1" applyBorder="1" applyAlignment="1" applyProtection="1">
      <alignment horizontal="right" vertical="top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left" vertical="top" wrapText="1"/>
    </xf>
    <xf numFmtId="0" fontId="1" fillId="0" borderId="5" xfId="0" applyFont="1" applyFill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center" vertical="top" wrapText="1"/>
    </xf>
    <xf numFmtId="0" fontId="1" fillId="4" borderId="5" xfId="0" applyFont="1" applyFill="1" applyBorder="1" applyAlignment="1" applyProtection="1">
      <alignment horizontal="center" vertical="top" wrapText="1"/>
    </xf>
    <xf numFmtId="0" fontId="28" fillId="0" borderId="3" xfId="0" applyFont="1" applyBorder="1" applyAlignment="1" applyProtection="1">
      <alignment horizontal="right" wrapText="1"/>
    </xf>
    <xf numFmtId="0" fontId="28" fillId="0" borderId="4" xfId="0" applyFont="1" applyBorder="1" applyAlignment="1" applyProtection="1">
      <alignment horizontal="right" wrapText="1"/>
    </xf>
    <xf numFmtId="0" fontId="28" fillId="0" borderId="5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1" fillId="4" borderId="3" xfId="0" applyFont="1" applyFill="1" applyBorder="1" applyAlignment="1" applyProtection="1">
      <alignment horizontal="left" vertical="top" wrapText="1"/>
    </xf>
    <xf numFmtId="0" fontId="23" fillId="4" borderId="3" xfId="0" applyFont="1" applyFill="1" applyBorder="1" applyAlignment="1" applyProtection="1">
      <alignment horizontal="left" vertical="top" wrapText="1"/>
    </xf>
    <xf numFmtId="0" fontId="23" fillId="4" borderId="4" xfId="0" applyFont="1" applyFill="1" applyBorder="1" applyAlignment="1" applyProtection="1">
      <alignment horizontal="left" vertical="top" wrapText="1"/>
    </xf>
    <xf numFmtId="0" fontId="23" fillId="4" borderId="5" xfId="0" applyFont="1" applyFill="1" applyBorder="1" applyAlignment="1" applyProtection="1">
      <alignment horizontal="left" vertical="top" wrapText="1"/>
    </xf>
    <xf numFmtId="0" fontId="1" fillId="4" borderId="10" xfId="0" applyFont="1" applyFill="1" applyBorder="1" applyAlignment="1" applyProtection="1">
      <alignment horizontal="center" vertical="top" wrapText="1"/>
    </xf>
    <xf numFmtId="0" fontId="1" fillId="4" borderId="13" xfId="0" applyFont="1" applyFill="1" applyBorder="1" applyAlignment="1" applyProtection="1">
      <alignment horizontal="center" vertical="top" wrapText="1"/>
    </xf>
    <xf numFmtId="0" fontId="1" fillId="4" borderId="8" xfId="0" applyFont="1" applyFill="1" applyBorder="1" applyAlignment="1" applyProtection="1">
      <alignment horizontal="right" vertical="top" wrapText="1"/>
    </xf>
    <xf numFmtId="0" fontId="1" fillId="4" borderId="2" xfId="0" applyFont="1" applyFill="1" applyBorder="1" applyAlignment="1" applyProtection="1">
      <alignment horizontal="right" vertical="top" wrapText="1"/>
    </xf>
    <xf numFmtId="0" fontId="1" fillId="4" borderId="9" xfId="0" applyFont="1" applyFill="1" applyBorder="1" applyAlignment="1" applyProtection="1">
      <alignment horizontal="right" vertical="top" wrapText="1"/>
    </xf>
    <xf numFmtId="0" fontId="1" fillId="4" borderId="11" xfId="0" applyFont="1" applyFill="1" applyBorder="1" applyAlignment="1" applyProtection="1">
      <alignment horizontal="right" vertical="top" wrapText="1"/>
    </xf>
    <xf numFmtId="0" fontId="1" fillId="4" borderId="0" xfId="0" applyFont="1" applyFill="1" applyBorder="1" applyAlignment="1" applyProtection="1">
      <alignment horizontal="right" vertical="top" wrapText="1"/>
    </xf>
    <xf numFmtId="0" fontId="1" fillId="4" borderId="12" xfId="0" applyFont="1" applyFill="1" applyBorder="1" applyAlignment="1" applyProtection="1">
      <alignment horizontal="right" vertical="top" wrapText="1"/>
    </xf>
    <xf numFmtId="0" fontId="1" fillId="4" borderId="15" xfId="0" applyFont="1" applyFill="1" applyBorder="1" applyAlignment="1" applyProtection="1">
      <alignment horizontal="center" vertical="top" wrapText="1"/>
    </xf>
    <xf numFmtId="0" fontId="1" fillId="0" borderId="15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4" fontId="4" fillId="4" borderId="3" xfId="0" applyNumberFormat="1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164" fontId="21" fillId="5" borderId="10" xfId="0" applyNumberFormat="1" applyFont="1" applyFill="1" applyBorder="1" applyAlignment="1">
      <alignment horizontal="center" textRotation="90"/>
    </xf>
    <xf numFmtId="0" fontId="21" fillId="5" borderId="13" xfId="0" applyFont="1" applyFill="1" applyBorder="1" applyAlignment="1">
      <alignment horizontal="center" textRotation="90"/>
    </xf>
    <xf numFmtId="0" fontId="21" fillId="5" borderId="14" xfId="0" applyFont="1" applyFill="1" applyBorder="1" applyAlignment="1">
      <alignment horizontal="center" textRotation="90"/>
    </xf>
    <xf numFmtId="0" fontId="1" fillId="3" borderId="4" xfId="0" applyFont="1" applyFill="1" applyBorder="1" applyAlignment="1" applyProtection="1">
      <alignment vertical="top" wrapText="1"/>
    </xf>
    <xf numFmtId="0" fontId="1" fillId="0" borderId="4" xfId="0" applyFont="1" applyBorder="1" applyAlignment="1" applyProtection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4" fillId="0" borderId="15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1A76FB31CD1BC4C47AEA138B865FC4B9B49733E5A256132101E0C8457Cy1nFD" TargetMode="External"/><Relationship Id="rId1" Type="http://schemas.openxmlformats.org/officeDocument/2006/relationships/hyperlink" Target="consultantplus://offline/ref=1A76FB31CD1BC4C47AEA138B865FC4B9B49631E0A552132101E0C8457Cy1nF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1A76FB31CD1BC4C47AEA138B865FC4B9B49731E0A350132101E0C8457Cy1nF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I42"/>
  <sheetViews>
    <sheetView view="pageBreakPreview" topLeftCell="A10" zoomScale="87" zoomScaleNormal="100" zoomScaleSheetLayoutView="87" workbookViewId="0">
      <selection activeCell="DZ16" sqref="DZ16"/>
    </sheetView>
  </sheetViews>
  <sheetFormatPr defaultRowHeight="12.75" x14ac:dyDescent="0.2"/>
  <cols>
    <col min="1" max="1" width="0.85546875" style="31" customWidth="1"/>
    <col min="2" max="40" width="1.140625" style="31" customWidth="1"/>
    <col min="41" max="114" width="0.85546875" style="31" customWidth="1"/>
    <col min="115" max="115" width="1.5703125" style="31" customWidth="1"/>
    <col min="116" max="116" width="1.7109375" style="31" customWidth="1"/>
    <col min="117" max="127" width="0.85546875" style="31" customWidth="1"/>
    <col min="128" max="128" width="0.42578125" style="31" customWidth="1"/>
    <col min="129" max="129" width="0.85546875" style="31" hidden="1" customWidth="1"/>
    <col min="130" max="130" width="74.140625" style="31" customWidth="1"/>
    <col min="131" max="165" width="0.85546875" style="31" customWidth="1"/>
    <col min="166" max="256" width="9.140625" style="31"/>
    <col min="257" max="257" width="0.85546875" style="31" customWidth="1"/>
    <col min="258" max="296" width="1.140625" style="31" customWidth="1"/>
    <col min="297" max="421" width="0.85546875" style="31" customWidth="1"/>
    <col min="422" max="512" width="9.140625" style="31"/>
    <col min="513" max="513" width="0.85546875" style="31" customWidth="1"/>
    <col min="514" max="552" width="1.140625" style="31" customWidth="1"/>
    <col min="553" max="677" width="0.85546875" style="31" customWidth="1"/>
    <col min="678" max="768" width="9.140625" style="31"/>
    <col min="769" max="769" width="0.85546875" style="31" customWidth="1"/>
    <col min="770" max="808" width="1.140625" style="31" customWidth="1"/>
    <col min="809" max="933" width="0.85546875" style="31" customWidth="1"/>
    <col min="934" max="1024" width="9.140625" style="31"/>
    <col min="1025" max="1025" width="0.85546875" style="31" customWidth="1"/>
    <col min="1026" max="1064" width="1.140625" style="31" customWidth="1"/>
    <col min="1065" max="1189" width="0.85546875" style="31" customWidth="1"/>
    <col min="1190" max="1280" width="9.140625" style="31"/>
    <col min="1281" max="1281" width="0.85546875" style="31" customWidth="1"/>
    <col min="1282" max="1320" width="1.140625" style="31" customWidth="1"/>
    <col min="1321" max="1445" width="0.85546875" style="31" customWidth="1"/>
    <col min="1446" max="1536" width="9.140625" style="31"/>
    <col min="1537" max="1537" width="0.85546875" style="31" customWidth="1"/>
    <col min="1538" max="1576" width="1.140625" style="31" customWidth="1"/>
    <col min="1577" max="1701" width="0.85546875" style="31" customWidth="1"/>
    <col min="1702" max="1792" width="9.140625" style="31"/>
    <col min="1793" max="1793" width="0.85546875" style="31" customWidth="1"/>
    <col min="1794" max="1832" width="1.140625" style="31" customWidth="1"/>
    <col min="1833" max="1957" width="0.85546875" style="31" customWidth="1"/>
    <col min="1958" max="2048" width="9.140625" style="31"/>
    <col min="2049" max="2049" width="0.85546875" style="31" customWidth="1"/>
    <col min="2050" max="2088" width="1.140625" style="31" customWidth="1"/>
    <col min="2089" max="2213" width="0.85546875" style="31" customWidth="1"/>
    <col min="2214" max="2304" width="9.140625" style="31"/>
    <col min="2305" max="2305" width="0.85546875" style="31" customWidth="1"/>
    <col min="2306" max="2344" width="1.140625" style="31" customWidth="1"/>
    <col min="2345" max="2469" width="0.85546875" style="31" customWidth="1"/>
    <col min="2470" max="2560" width="9.140625" style="31"/>
    <col min="2561" max="2561" width="0.85546875" style="31" customWidth="1"/>
    <col min="2562" max="2600" width="1.140625" style="31" customWidth="1"/>
    <col min="2601" max="2725" width="0.85546875" style="31" customWidth="1"/>
    <col min="2726" max="2816" width="9.140625" style="31"/>
    <col min="2817" max="2817" width="0.85546875" style="31" customWidth="1"/>
    <col min="2818" max="2856" width="1.140625" style="31" customWidth="1"/>
    <col min="2857" max="2981" width="0.85546875" style="31" customWidth="1"/>
    <col min="2982" max="3072" width="9.140625" style="31"/>
    <col min="3073" max="3073" width="0.85546875" style="31" customWidth="1"/>
    <col min="3074" max="3112" width="1.140625" style="31" customWidth="1"/>
    <col min="3113" max="3237" width="0.85546875" style="31" customWidth="1"/>
    <col min="3238" max="3328" width="9.140625" style="31"/>
    <col min="3329" max="3329" width="0.85546875" style="31" customWidth="1"/>
    <col min="3330" max="3368" width="1.140625" style="31" customWidth="1"/>
    <col min="3369" max="3493" width="0.85546875" style="31" customWidth="1"/>
    <col min="3494" max="3584" width="9.140625" style="31"/>
    <col min="3585" max="3585" width="0.85546875" style="31" customWidth="1"/>
    <col min="3586" max="3624" width="1.140625" style="31" customWidth="1"/>
    <col min="3625" max="3749" width="0.85546875" style="31" customWidth="1"/>
    <col min="3750" max="3840" width="9.140625" style="31"/>
    <col min="3841" max="3841" width="0.85546875" style="31" customWidth="1"/>
    <col min="3842" max="3880" width="1.140625" style="31" customWidth="1"/>
    <col min="3881" max="4005" width="0.85546875" style="31" customWidth="1"/>
    <col min="4006" max="4096" width="9.140625" style="31"/>
    <col min="4097" max="4097" width="0.85546875" style="31" customWidth="1"/>
    <col min="4098" max="4136" width="1.140625" style="31" customWidth="1"/>
    <col min="4137" max="4261" width="0.85546875" style="31" customWidth="1"/>
    <col min="4262" max="4352" width="9.140625" style="31"/>
    <col min="4353" max="4353" width="0.85546875" style="31" customWidth="1"/>
    <col min="4354" max="4392" width="1.140625" style="31" customWidth="1"/>
    <col min="4393" max="4517" width="0.85546875" style="31" customWidth="1"/>
    <col min="4518" max="4608" width="9.140625" style="31"/>
    <col min="4609" max="4609" width="0.85546875" style="31" customWidth="1"/>
    <col min="4610" max="4648" width="1.140625" style="31" customWidth="1"/>
    <col min="4649" max="4773" width="0.85546875" style="31" customWidth="1"/>
    <col min="4774" max="4864" width="9.140625" style="31"/>
    <col min="4865" max="4865" width="0.85546875" style="31" customWidth="1"/>
    <col min="4866" max="4904" width="1.140625" style="31" customWidth="1"/>
    <col min="4905" max="5029" width="0.85546875" style="31" customWidth="1"/>
    <col min="5030" max="5120" width="9.140625" style="31"/>
    <col min="5121" max="5121" width="0.85546875" style="31" customWidth="1"/>
    <col min="5122" max="5160" width="1.140625" style="31" customWidth="1"/>
    <col min="5161" max="5285" width="0.85546875" style="31" customWidth="1"/>
    <col min="5286" max="5376" width="9.140625" style="31"/>
    <col min="5377" max="5377" width="0.85546875" style="31" customWidth="1"/>
    <col min="5378" max="5416" width="1.140625" style="31" customWidth="1"/>
    <col min="5417" max="5541" width="0.85546875" style="31" customWidth="1"/>
    <col min="5542" max="5632" width="9.140625" style="31"/>
    <col min="5633" max="5633" width="0.85546875" style="31" customWidth="1"/>
    <col min="5634" max="5672" width="1.140625" style="31" customWidth="1"/>
    <col min="5673" max="5797" width="0.85546875" style="31" customWidth="1"/>
    <col min="5798" max="5888" width="9.140625" style="31"/>
    <col min="5889" max="5889" width="0.85546875" style="31" customWidth="1"/>
    <col min="5890" max="5928" width="1.140625" style="31" customWidth="1"/>
    <col min="5929" max="6053" width="0.85546875" style="31" customWidth="1"/>
    <col min="6054" max="6144" width="9.140625" style="31"/>
    <col min="6145" max="6145" width="0.85546875" style="31" customWidth="1"/>
    <col min="6146" max="6184" width="1.140625" style="31" customWidth="1"/>
    <col min="6185" max="6309" width="0.85546875" style="31" customWidth="1"/>
    <col min="6310" max="6400" width="9.140625" style="31"/>
    <col min="6401" max="6401" width="0.85546875" style="31" customWidth="1"/>
    <col min="6402" max="6440" width="1.140625" style="31" customWidth="1"/>
    <col min="6441" max="6565" width="0.85546875" style="31" customWidth="1"/>
    <col min="6566" max="6656" width="9.140625" style="31"/>
    <col min="6657" max="6657" width="0.85546875" style="31" customWidth="1"/>
    <col min="6658" max="6696" width="1.140625" style="31" customWidth="1"/>
    <col min="6697" max="6821" width="0.85546875" style="31" customWidth="1"/>
    <col min="6822" max="6912" width="9.140625" style="31"/>
    <col min="6913" max="6913" width="0.85546875" style="31" customWidth="1"/>
    <col min="6914" max="6952" width="1.140625" style="31" customWidth="1"/>
    <col min="6953" max="7077" width="0.85546875" style="31" customWidth="1"/>
    <col min="7078" max="7168" width="9.140625" style="31"/>
    <col min="7169" max="7169" width="0.85546875" style="31" customWidth="1"/>
    <col min="7170" max="7208" width="1.140625" style="31" customWidth="1"/>
    <col min="7209" max="7333" width="0.85546875" style="31" customWidth="1"/>
    <col min="7334" max="7424" width="9.140625" style="31"/>
    <col min="7425" max="7425" width="0.85546875" style="31" customWidth="1"/>
    <col min="7426" max="7464" width="1.140625" style="31" customWidth="1"/>
    <col min="7465" max="7589" width="0.85546875" style="31" customWidth="1"/>
    <col min="7590" max="7680" width="9.140625" style="31"/>
    <col min="7681" max="7681" width="0.85546875" style="31" customWidth="1"/>
    <col min="7682" max="7720" width="1.140625" style="31" customWidth="1"/>
    <col min="7721" max="7845" width="0.85546875" style="31" customWidth="1"/>
    <col min="7846" max="7936" width="9.140625" style="31"/>
    <col min="7937" max="7937" width="0.85546875" style="31" customWidth="1"/>
    <col min="7938" max="7976" width="1.140625" style="31" customWidth="1"/>
    <col min="7977" max="8101" width="0.85546875" style="31" customWidth="1"/>
    <col min="8102" max="8192" width="9.140625" style="31"/>
    <col min="8193" max="8193" width="0.85546875" style="31" customWidth="1"/>
    <col min="8194" max="8232" width="1.140625" style="31" customWidth="1"/>
    <col min="8233" max="8357" width="0.85546875" style="31" customWidth="1"/>
    <col min="8358" max="8448" width="9.140625" style="31"/>
    <col min="8449" max="8449" width="0.85546875" style="31" customWidth="1"/>
    <col min="8450" max="8488" width="1.140625" style="31" customWidth="1"/>
    <col min="8489" max="8613" width="0.85546875" style="31" customWidth="1"/>
    <col min="8614" max="8704" width="9.140625" style="31"/>
    <col min="8705" max="8705" width="0.85546875" style="31" customWidth="1"/>
    <col min="8706" max="8744" width="1.140625" style="31" customWidth="1"/>
    <col min="8745" max="8869" width="0.85546875" style="31" customWidth="1"/>
    <col min="8870" max="8960" width="9.140625" style="31"/>
    <col min="8961" max="8961" width="0.85546875" style="31" customWidth="1"/>
    <col min="8962" max="9000" width="1.140625" style="31" customWidth="1"/>
    <col min="9001" max="9125" width="0.85546875" style="31" customWidth="1"/>
    <col min="9126" max="9216" width="9.140625" style="31"/>
    <col min="9217" max="9217" width="0.85546875" style="31" customWidth="1"/>
    <col min="9218" max="9256" width="1.140625" style="31" customWidth="1"/>
    <col min="9257" max="9381" width="0.85546875" style="31" customWidth="1"/>
    <col min="9382" max="9472" width="9.140625" style="31"/>
    <col min="9473" max="9473" width="0.85546875" style="31" customWidth="1"/>
    <col min="9474" max="9512" width="1.140625" style="31" customWidth="1"/>
    <col min="9513" max="9637" width="0.85546875" style="31" customWidth="1"/>
    <col min="9638" max="9728" width="9.140625" style="31"/>
    <col min="9729" max="9729" width="0.85546875" style="31" customWidth="1"/>
    <col min="9730" max="9768" width="1.140625" style="31" customWidth="1"/>
    <col min="9769" max="9893" width="0.85546875" style="31" customWidth="1"/>
    <col min="9894" max="9984" width="9.140625" style="31"/>
    <col min="9985" max="9985" width="0.85546875" style="31" customWidth="1"/>
    <col min="9986" max="10024" width="1.140625" style="31" customWidth="1"/>
    <col min="10025" max="10149" width="0.85546875" style="31" customWidth="1"/>
    <col min="10150" max="10240" width="9.140625" style="31"/>
    <col min="10241" max="10241" width="0.85546875" style="31" customWidth="1"/>
    <col min="10242" max="10280" width="1.140625" style="31" customWidth="1"/>
    <col min="10281" max="10405" width="0.85546875" style="31" customWidth="1"/>
    <col min="10406" max="10496" width="9.140625" style="31"/>
    <col min="10497" max="10497" width="0.85546875" style="31" customWidth="1"/>
    <col min="10498" max="10536" width="1.140625" style="31" customWidth="1"/>
    <col min="10537" max="10661" width="0.85546875" style="31" customWidth="1"/>
    <col min="10662" max="10752" width="9.140625" style="31"/>
    <col min="10753" max="10753" width="0.85546875" style="31" customWidth="1"/>
    <col min="10754" max="10792" width="1.140625" style="31" customWidth="1"/>
    <col min="10793" max="10917" width="0.85546875" style="31" customWidth="1"/>
    <col min="10918" max="11008" width="9.140625" style="31"/>
    <col min="11009" max="11009" width="0.85546875" style="31" customWidth="1"/>
    <col min="11010" max="11048" width="1.140625" style="31" customWidth="1"/>
    <col min="11049" max="11173" width="0.85546875" style="31" customWidth="1"/>
    <col min="11174" max="11264" width="9.140625" style="31"/>
    <col min="11265" max="11265" width="0.85546875" style="31" customWidth="1"/>
    <col min="11266" max="11304" width="1.140625" style="31" customWidth="1"/>
    <col min="11305" max="11429" width="0.85546875" style="31" customWidth="1"/>
    <col min="11430" max="11520" width="9.140625" style="31"/>
    <col min="11521" max="11521" width="0.85546875" style="31" customWidth="1"/>
    <col min="11522" max="11560" width="1.140625" style="31" customWidth="1"/>
    <col min="11561" max="11685" width="0.85546875" style="31" customWidth="1"/>
    <col min="11686" max="11776" width="9.140625" style="31"/>
    <col min="11777" max="11777" width="0.85546875" style="31" customWidth="1"/>
    <col min="11778" max="11816" width="1.140625" style="31" customWidth="1"/>
    <col min="11817" max="11941" width="0.85546875" style="31" customWidth="1"/>
    <col min="11942" max="12032" width="9.140625" style="31"/>
    <col min="12033" max="12033" width="0.85546875" style="31" customWidth="1"/>
    <col min="12034" max="12072" width="1.140625" style="31" customWidth="1"/>
    <col min="12073" max="12197" width="0.85546875" style="31" customWidth="1"/>
    <col min="12198" max="12288" width="9.140625" style="31"/>
    <col min="12289" max="12289" width="0.85546875" style="31" customWidth="1"/>
    <col min="12290" max="12328" width="1.140625" style="31" customWidth="1"/>
    <col min="12329" max="12453" width="0.85546875" style="31" customWidth="1"/>
    <col min="12454" max="12544" width="9.140625" style="31"/>
    <col min="12545" max="12545" width="0.85546875" style="31" customWidth="1"/>
    <col min="12546" max="12584" width="1.140625" style="31" customWidth="1"/>
    <col min="12585" max="12709" width="0.85546875" style="31" customWidth="1"/>
    <col min="12710" max="12800" width="9.140625" style="31"/>
    <col min="12801" max="12801" width="0.85546875" style="31" customWidth="1"/>
    <col min="12802" max="12840" width="1.140625" style="31" customWidth="1"/>
    <col min="12841" max="12965" width="0.85546875" style="31" customWidth="1"/>
    <col min="12966" max="13056" width="9.140625" style="31"/>
    <col min="13057" max="13057" width="0.85546875" style="31" customWidth="1"/>
    <col min="13058" max="13096" width="1.140625" style="31" customWidth="1"/>
    <col min="13097" max="13221" width="0.85546875" style="31" customWidth="1"/>
    <col min="13222" max="13312" width="9.140625" style="31"/>
    <col min="13313" max="13313" width="0.85546875" style="31" customWidth="1"/>
    <col min="13314" max="13352" width="1.140625" style="31" customWidth="1"/>
    <col min="13353" max="13477" width="0.85546875" style="31" customWidth="1"/>
    <col min="13478" max="13568" width="9.140625" style="31"/>
    <col min="13569" max="13569" width="0.85546875" style="31" customWidth="1"/>
    <col min="13570" max="13608" width="1.140625" style="31" customWidth="1"/>
    <col min="13609" max="13733" width="0.85546875" style="31" customWidth="1"/>
    <col min="13734" max="13824" width="9.140625" style="31"/>
    <col min="13825" max="13825" width="0.85546875" style="31" customWidth="1"/>
    <col min="13826" max="13864" width="1.140625" style="31" customWidth="1"/>
    <col min="13865" max="13989" width="0.85546875" style="31" customWidth="1"/>
    <col min="13990" max="14080" width="9.140625" style="31"/>
    <col min="14081" max="14081" width="0.85546875" style="31" customWidth="1"/>
    <col min="14082" max="14120" width="1.140625" style="31" customWidth="1"/>
    <col min="14121" max="14245" width="0.85546875" style="31" customWidth="1"/>
    <col min="14246" max="14336" width="9.140625" style="31"/>
    <col min="14337" max="14337" width="0.85546875" style="31" customWidth="1"/>
    <col min="14338" max="14376" width="1.140625" style="31" customWidth="1"/>
    <col min="14377" max="14501" width="0.85546875" style="31" customWidth="1"/>
    <col min="14502" max="14592" width="9.140625" style="31"/>
    <col min="14593" max="14593" width="0.85546875" style="31" customWidth="1"/>
    <col min="14594" max="14632" width="1.140625" style="31" customWidth="1"/>
    <col min="14633" max="14757" width="0.85546875" style="31" customWidth="1"/>
    <col min="14758" max="14848" width="9.140625" style="31"/>
    <col min="14849" max="14849" width="0.85546875" style="31" customWidth="1"/>
    <col min="14850" max="14888" width="1.140625" style="31" customWidth="1"/>
    <col min="14889" max="15013" width="0.85546875" style="31" customWidth="1"/>
    <col min="15014" max="15104" width="9.140625" style="31"/>
    <col min="15105" max="15105" width="0.85546875" style="31" customWidth="1"/>
    <col min="15106" max="15144" width="1.140625" style="31" customWidth="1"/>
    <col min="15145" max="15269" width="0.85546875" style="31" customWidth="1"/>
    <col min="15270" max="15360" width="9.140625" style="31"/>
    <col min="15361" max="15361" width="0.85546875" style="31" customWidth="1"/>
    <col min="15362" max="15400" width="1.140625" style="31" customWidth="1"/>
    <col min="15401" max="15525" width="0.85546875" style="31" customWidth="1"/>
    <col min="15526" max="15616" width="9.140625" style="31"/>
    <col min="15617" max="15617" width="0.85546875" style="31" customWidth="1"/>
    <col min="15618" max="15656" width="1.140625" style="31" customWidth="1"/>
    <col min="15657" max="15781" width="0.85546875" style="31" customWidth="1"/>
    <col min="15782" max="15872" width="9.140625" style="31"/>
    <col min="15873" max="15873" width="0.85546875" style="31" customWidth="1"/>
    <col min="15874" max="15912" width="1.140625" style="31" customWidth="1"/>
    <col min="15913" max="16037" width="0.85546875" style="31" customWidth="1"/>
    <col min="16038" max="16128" width="9.140625" style="31"/>
    <col min="16129" max="16129" width="0.85546875" style="31" customWidth="1"/>
    <col min="16130" max="16168" width="1.140625" style="31" customWidth="1"/>
    <col min="16169" max="16293" width="0.85546875" style="31" customWidth="1"/>
    <col min="16294" max="16384" width="9.140625" style="31"/>
  </cols>
  <sheetData>
    <row r="1" spans="1:155" x14ac:dyDescent="0.2">
      <c r="N1" s="15"/>
    </row>
    <row r="2" spans="1:155" ht="15" x14ac:dyDescent="0.25">
      <c r="A2" s="30"/>
      <c r="B2" s="30"/>
      <c r="C2" s="30"/>
      <c r="D2" s="30"/>
      <c r="E2" s="30"/>
      <c r="F2" s="30"/>
      <c r="G2" s="196" t="s">
        <v>73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CD2" s="196" t="s">
        <v>58</v>
      </c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22"/>
      <c r="DU2" s="122"/>
      <c r="DV2" s="122"/>
    </row>
    <row r="3" spans="1:155" ht="63.75" customHeight="1" x14ac:dyDescent="0.25">
      <c r="A3" s="30"/>
      <c r="B3" s="30"/>
      <c r="C3" s="30"/>
      <c r="D3" s="30"/>
      <c r="E3" s="30"/>
      <c r="F3" s="30"/>
      <c r="G3" s="201" t="s">
        <v>228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CD3" s="201" t="s">
        <v>230</v>
      </c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122"/>
      <c r="DU3" s="122"/>
      <c r="DV3" s="122"/>
      <c r="DW3" s="35"/>
    </row>
    <row r="4" spans="1:155" ht="24.75" customHeight="1" x14ac:dyDescent="0.2">
      <c r="A4" s="16"/>
      <c r="B4" s="16"/>
      <c r="C4" s="16"/>
      <c r="D4" s="16"/>
      <c r="E4" s="16"/>
      <c r="F4" s="16"/>
      <c r="G4" s="202" t="s">
        <v>74</v>
      </c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CD4" s="202" t="s">
        <v>59</v>
      </c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46"/>
      <c r="DU4" s="46"/>
      <c r="DV4" s="46"/>
      <c r="DW4" s="35"/>
    </row>
    <row r="5" spans="1:155" ht="15" x14ac:dyDescent="0.25">
      <c r="A5" s="30"/>
      <c r="B5" s="30"/>
      <c r="C5" s="30"/>
      <c r="D5" s="30"/>
      <c r="E5" s="30"/>
      <c r="F5" s="30"/>
      <c r="G5" s="191" t="s">
        <v>229</v>
      </c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CD5" s="191" t="s">
        <v>231</v>
      </c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22"/>
      <c r="DU5" s="122"/>
      <c r="DV5" s="122"/>
      <c r="DW5" s="35"/>
    </row>
    <row r="6" spans="1:155" x14ac:dyDescent="0.2">
      <c r="A6" s="17"/>
      <c r="B6" s="17"/>
      <c r="C6" s="17"/>
      <c r="D6" s="17"/>
      <c r="E6" s="17"/>
      <c r="F6" s="17"/>
      <c r="G6" s="192" t="s">
        <v>60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7"/>
      <c r="W6" s="17"/>
      <c r="X6" s="192" t="s">
        <v>61</v>
      </c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CD6" s="192" t="s">
        <v>60</v>
      </c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7"/>
      <c r="CW6" s="17"/>
      <c r="CX6" s="17"/>
      <c r="CY6" s="17"/>
      <c r="CZ6" s="32" t="s">
        <v>61</v>
      </c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4"/>
      <c r="DU6" s="34"/>
      <c r="DV6" s="34"/>
    </row>
    <row r="7" spans="1:155" ht="15.2" customHeight="1" x14ac:dyDescent="0.25">
      <c r="A7" s="18"/>
      <c r="B7" s="18"/>
      <c r="C7" s="18"/>
      <c r="D7" s="18"/>
      <c r="E7" s="123"/>
      <c r="F7" s="19"/>
      <c r="I7" s="123" t="s">
        <v>62</v>
      </c>
      <c r="J7" s="33"/>
      <c r="K7" s="33"/>
      <c r="L7" s="30" t="s">
        <v>62</v>
      </c>
      <c r="M7" s="19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4" t="s">
        <v>71</v>
      </c>
      <c r="AE7" s="194"/>
      <c r="AF7" s="194"/>
      <c r="AG7" s="195"/>
      <c r="AH7" s="195"/>
      <c r="AI7" s="195"/>
      <c r="AJ7" s="196" t="s">
        <v>72</v>
      </c>
      <c r="AK7" s="196"/>
      <c r="AL7" s="30"/>
      <c r="AM7" s="19"/>
      <c r="AN7" s="19"/>
      <c r="AO7" s="19"/>
      <c r="AP7" s="19"/>
      <c r="AQ7" s="30"/>
      <c r="CH7" s="123" t="s">
        <v>62</v>
      </c>
      <c r="CI7" s="197"/>
      <c r="CJ7" s="197"/>
      <c r="CK7" s="197"/>
      <c r="CL7" s="197"/>
      <c r="CM7" s="30" t="s">
        <v>62</v>
      </c>
      <c r="CP7" s="196" t="s">
        <v>130</v>
      </c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8">
        <v>20</v>
      </c>
      <c r="DJ7" s="198"/>
      <c r="DK7" s="198"/>
      <c r="DL7" s="197"/>
      <c r="DM7" s="197"/>
      <c r="DN7" s="197"/>
      <c r="DO7" s="197"/>
      <c r="DP7" s="30" t="s">
        <v>63</v>
      </c>
    </row>
    <row r="8" spans="1:155" ht="15" x14ac:dyDescent="0.25">
      <c r="BN8" s="30"/>
      <c r="CY8" s="20"/>
      <c r="DF8" s="30"/>
      <c r="DG8" s="30"/>
    </row>
    <row r="9" spans="1:155" ht="45.75" customHeight="1" x14ac:dyDescent="0.3">
      <c r="A9" s="199" t="s">
        <v>211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</row>
    <row r="10" spans="1:155" ht="39" customHeight="1" x14ac:dyDescent="0.25">
      <c r="DF10" s="30"/>
    </row>
    <row r="11" spans="1:155" ht="15" x14ac:dyDescent="0.2">
      <c r="DJ11" s="200" t="s">
        <v>64</v>
      </c>
      <c r="DK11" s="200"/>
      <c r="DL11" s="200"/>
      <c r="DM11" s="200"/>
      <c r="DN11" s="200"/>
      <c r="DO11" s="200"/>
      <c r="DP11" s="200"/>
      <c r="DQ11" s="200"/>
      <c r="DR11" s="200"/>
      <c r="DS11" s="200"/>
      <c r="DT11" s="200"/>
      <c r="DU11" s="200"/>
      <c r="DV11" s="200"/>
      <c r="DW11" s="200"/>
      <c r="DX11" s="200"/>
      <c r="DY11" s="200"/>
    </row>
    <row r="12" spans="1:155" ht="15.2" customHeight="1" x14ac:dyDescent="0.25"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DH12" s="123" t="s">
        <v>65</v>
      </c>
      <c r="DJ12" s="188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90"/>
    </row>
    <row r="13" spans="1:155" ht="15.2" customHeight="1" x14ac:dyDescent="0.25">
      <c r="X13" s="35"/>
      <c r="Y13" s="35"/>
      <c r="Z13" s="35"/>
      <c r="AA13" s="35"/>
      <c r="AB13" s="35"/>
      <c r="AC13" s="21"/>
      <c r="AD13" s="185"/>
      <c r="AE13" s="185"/>
      <c r="AF13" s="185"/>
      <c r="AG13" s="185"/>
      <c r="AH13" s="22"/>
      <c r="AI13" s="22"/>
      <c r="AJ13" s="22" t="s">
        <v>62</v>
      </c>
      <c r="AK13" s="22"/>
      <c r="AL13" s="121"/>
      <c r="AM13" s="121"/>
      <c r="AN13" s="121"/>
      <c r="AO13" s="121"/>
      <c r="AP13" s="36" t="s">
        <v>62</v>
      </c>
      <c r="AQ13" s="36"/>
      <c r="AR13" s="3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36">
        <v>20</v>
      </c>
      <c r="BL13" s="187"/>
      <c r="BM13" s="187"/>
      <c r="BN13" s="187"/>
      <c r="BO13" s="187"/>
      <c r="BP13" s="187"/>
      <c r="BQ13" s="187"/>
      <c r="BR13" s="187"/>
      <c r="BS13" s="22" t="s">
        <v>63</v>
      </c>
      <c r="BT13" s="22"/>
      <c r="CT13" s="23"/>
      <c r="DH13" s="123" t="s">
        <v>66</v>
      </c>
      <c r="DJ13" s="188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90"/>
    </row>
    <row r="14" spans="1:155" ht="24" customHeight="1" x14ac:dyDescent="0.25">
      <c r="BH14" s="30"/>
      <c r="CT14" s="23"/>
      <c r="CU14" s="23"/>
      <c r="DH14" s="123"/>
      <c r="DJ14" s="188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90"/>
    </row>
    <row r="15" spans="1:155" ht="15" x14ac:dyDescent="0.25">
      <c r="CT15" s="23"/>
      <c r="CU15" s="23"/>
      <c r="DH15" s="123"/>
      <c r="DJ15" s="188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90"/>
    </row>
    <row r="16" spans="1:155" ht="15.2" customHeight="1" x14ac:dyDescent="0.25">
      <c r="A16" s="173" t="s">
        <v>75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48"/>
      <c r="AM16" s="48"/>
      <c r="AN16" s="48"/>
      <c r="AO16" s="173" t="s">
        <v>132</v>
      </c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24"/>
      <c r="CT16" s="24"/>
      <c r="DH16" s="123" t="s">
        <v>67</v>
      </c>
      <c r="DJ16" s="188" t="s">
        <v>131</v>
      </c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90"/>
    </row>
    <row r="17" spans="1:164" ht="15.2" customHeight="1" x14ac:dyDescent="0.25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48"/>
      <c r="AM17" s="48"/>
      <c r="AN17" s="48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24"/>
      <c r="CT17" s="24"/>
      <c r="CU17" s="23"/>
      <c r="DH17" s="123"/>
      <c r="DJ17" s="188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90"/>
    </row>
    <row r="18" spans="1:164" ht="66" customHeight="1" x14ac:dyDescent="0.25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48"/>
      <c r="AM18" s="48"/>
      <c r="AN18" s="48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24"/>
      <c r="CT18" s="24"/>
      <c r="CU18" s="23"/>
      <c r="DH18" s="25"/>
      <c r="DJ18" s="188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90"/>
    </row>
    <row r="19" spans="1:164" ht="15.75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T19" s="23"/>
      <c r="CU19" s="23"/>
      <c r="DH19" s="123"/>
      <c r="DJ19" s="182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4"/>
    </row>
    <row r="20" spans="1:164" ht="15.2" customHeight="1" x14ac:dyDescent="0.2">
      <c r="A20" s="176" t="s">
        <v>68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49"/>
      <c r="AM20" s="49"/>
      <c r="AN20" s="49"/>
      <c r="AO20" s="177" t="s">
        <v>133</v>
      </c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26"/>
      <c r="CT20" s="26"/>
      <c r="DH20" s="27"/>
      <c r="DJ20" s="178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79"/>
      <c r="DX20" s="179"/>
      <c r="DY20" s="180"/>
    </row>
    <row r="21" spans="1:164" ht="19.5" customHeight="1" x14ac:dyDescent="0.2">
      <c r="A21" s="176" t="s">
        <v>78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49"/>
      <c r="AM21" s="49"/>
      <c r="AN21" s="49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DH21" s="28" t="s">
        <v>69</v>
      </c>
      <c r="DJ21" s="178" t="s">
        <v>70</v>
      </c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80"/>
    </row>
    <row r="22" spans="1:164" ht="15.2" customHeight="1" x14ac:dyDescent="0.2">
      <c r="A22" s="176" t="s">
        <v>79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49"/>
      <c r="AM22" s="49"/>
      <c r="AN22" s="49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28"/>
      <c r="DI22" s="35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1"/>
      <c r="DV22" s="181"/>
      <c r="DW22" s="181"/>
      <c r="DX22" s="181"/>
      <c r="DY22" s="181"/>
    </row>
    <row r="23" spans="1:164" ht="15.75" x14ac:dyDescent="0.2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42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S23" s="29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</row>
    <row r="24" spans="1:164" ht="21" customHeight="1" x14ac:dyDescent="0.2">
      <c r="A24" s="173" t="s">
        <v>76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48"/>
      <c r="AM24" s="48"/>
      <c r="AN24" s="48"/>
      <c r="AO24" s="173" t="s">
        <v>201</v>
      </c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24"/>
      <c r="DR24" s="24"/>
      <c r="DS24" s="24"/>
      <c r="DT24" s="24"/>
    </row>
    <row r="25" spans="1:164" ht="21" customHeight="1" x14ac:dyDescent="0.2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48"/>
      <c r="AM25" s="48"/>
      <c r="AN25" s="48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24"/>
      <c r="DR25" s="24"/>
      <c r="DS25" s="24"/>
      <c r="DT25" s="24"/>
    </row>
    <row r="26" spans="1:164" ht="15" customHeight="1" x14ac:dyDescent="0.2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48"/>
      <c r="AM26" s="48"/>
      <c r="AN26" s="48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24"/>
      <c r="DR26" s="24"/>
      <c r="DS26" s="24"/>
      <c r="DT26" s="24"/>
    </row>
    <row r="27" spans="1:164" ht="15.75" x14ac:dyDescent="0.25">
      <c r="A27" s="43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44"/>
      <c r="CP27" s="44"/>
      <c r="CQ27" s="44"/>
      <c r="CR27" s="44"/>
      <c r="CS27" s="44"/>
      <c r="CT27" s="44"/>
      <c r="CU27" s="44"/>
      <c r="CV27" s="44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38"/>
      <c r="DH27" s="38"/>
      <c r="DI27" s="38"/>
      <c r="DJ27" s="38"/>
      <c r="DK27" s="38"/>
      <c r="DL27" s="38"/>
      <c r="DM27" s="38"/>
      <c r="DN27" s="38"/>
      <c r="DO27" s="38"/>
      <c r="DP27" s="38"/>
    </row>
    <row r="28" spans="1:164" ht="15.2" hidden="1" customHeight="1" x14ac:dyDescent="0.25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37"/>
      <c r="AP28" s="37"/>
      <c r="AQ28" s="37"/>
      <c r="AR28" s="37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24"/>
      <c r="DR28" s="24"/>
      <c r="DS28" s="24"/>
      <c r="DT28" s="24"/>
    </row>
    <row r="29" spans="1:164" ht="15.2" hidden="1" customHeight="1" x14ac:dyDescent="0.25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37"/>
      <c r="AP29" s="37"/>
      <c r="AQ29" s="37"/>
      <c r="AR29" s="37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24"/>
      <c r="DR29" s="24"/>
      <c r="DS29" s="24"/>
      <c r="DT29" s="24"/>
    </row>
    <row r="30" spans="1:164" ht="15.2" hidden="1" customHeight="1" x14ac:dyDescent="0.25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37"/>
      <c r="AP30" s="37"/>
      <c r="AQ30" s="37"/>
      <c r="AR30" s="37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24"/>
      <c r="DR30" s="24"/>
      <c r="DS30" s="24"/>
      <c r="DT30" s="24"/>
    </row>
    <row r="31" spans="1:164" ht="15" hidden="1" x14ac:dyDescent="0.25">
      <c r="DF31" s="30"/>
    </row>
    <row r="32" spans="1:164" ht="21" customHeight="1" x14ac:dyDescent="0.3">
      <c r="A32" s="175" t="s">
        <v>77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</row>
    <row r="33" spans="1:165" ht="13.9" customHeight="1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</row>
    <row r="34" spans="1:165" ht="174.75" customHeight="1" x14ac:dyDescent="0.25">
      <c r="A34" s="173" t="s">
        <v>134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</row>
    <row r="35" spans="1:165" ht="282" customHeight="1" x14ac:dyDescent="0.25">
      <c r="A35" s="173" t="s">
        <v>137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</row>
    <row r="36" spans="1:165" ht="384" customHeight="1" x14ac:dyDescent="0.25">
      <c r="A36" s="174" t="s">
        <v>138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74"/>
      <c r="CV36" s="174"/>
      <c r="CW36" s="174"/>
      <c r="CX36" s="174"/>
      <c r="CY36" s="174"/>
      <c r="CZ36" s="174"/>
      <c r="DA36" s="174"/>
      <c r="DB36" s="174"/>
      <c r="DC36" s="174"/>
      <c r="DD36" s="174"/>
      <c r="DE36" s="174"/>
      <c r="DF36" s="174"/>
      <c r="DG36" s="174"/>
      <c r="DH36" s="174"/>
      <c r="DI36" s="174"/>
      <c r="DJ36" s="174"/>
      <c r="DK36" s="174"/>
      <c r="DL36" s="174"/>
      <c r="DM36" s="174"/>
      <c r="DN36" s="174"/>
      <c r="DO36" s="174"/>
      <c r="DP36" s="174"/>
      <c r="DQ36" s="174"/>
      <c r="DR36" s="174"/>
      <c r="DS36" s="174"/>
      <c r="DT36" s="174"/>
      <c r="DU36" s="174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30"/>
      <c r="FA36" s="51"/>
      <c r="FB36" s="51"/>
      <c r="FC36" s="51"/>
      <c r="FD36" s="51"/>
      <c r="FE36" s="51"/>
      <c r="FF36" s="51"/>
      <c r="FG36" s="51"/>
      <c r="FH36" s="51"/>
      <c r="FI36" s="51"/>
    </row>
    <row r="37" spans="1:165" ht="124.5" customHeight="1" x14ac:dyDescent="0.2">
      <c r="A37" s="173" t="s">
        <v>227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Z37" s="91" t="s">
        <v>150</v>
      </c>
    </row>
    <row r="38" spans="1:165" ht="70.5" customHeight="1" x14ac:dyDescent="0.2">
      <c r="A38" s="174" t="s">
        <v>232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</row>
    <row r="39" spans="1:165" ht="24.75" customHeight="1" x14ac:dyDescent="0.25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</row>
    <row r="40" spans="1:165" ht="41.25" customHeight="1" x14ac:dyDescent="0.25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30"/>
      <c r="FA40" s="51"/>
      <c r="FB40" s="51"/>
      <c r="FC40" s="51"/>
      <c r="FD40" s="51"/>
      <c r="FE40" s="51"/>
      <c r="FF40" s="51"/>
      <c r="FG40" s="51"/>
      <c r="FH40" s="51"/>
      <c r="FI40" s="51"/>
    </row>
    <row r="41" spans="1:165" ht="15.75" x14ac:dyDescent="0.2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</row>
    <row r="42" spans="1:165" ht="15" x14ac:dyDescent="0.2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174"/>
      <c r="CM42" s="174"/>
      <c r="CN42" s="174"/>
      <c r="CO42" s="174"/>
      <c r="CP42" s="174"/>
      <c r="CQ42" s="174"/>
      <c r="CR42" s="174"/>
      <c r="CS42" s="174"/>
      <c r="CT42" s="174"/>
      <c r="CU42" s="174"/>
      <c r="CV42" s="174"/>
      <c r="CW42" s="174"/>
      <c r="CX42" s="174"/>
      <c r="CY42" s="174"/>
      <c r="CZ42" s="174"/>
      <c r="DA42" s="174"/>
      <c r="DB42" s="174"/>
      <c r="DC42" s="174"/>
      <c r="DD42" s="174"/>
      <c r="DE42" s="174"/>
      <c r="DF42" s="174"/>
      <c r="DG42" s="174"/>
      <c r="DH42" s="174"/>
      <c r="DI42" s="174"/>
      <c r="DJ42" s="174"/>
      <c r="DK42" s="174"/>
      <c r="DL42" s="174"/>
      <c r="DM42" s="174"/>
      <c r="DN42" s="174"/>
      <c r="DO42" s="174"/>
      <c r="DP42" s="174"/>
      <c r="DQ42" s="174"/>
      <c r="DR42" s="174"/>
      <c r="DS42" s="174"/>
      <c r="DT42" s="174"/>
      <c r="DU42" s="174"/>
    </row>
  </sheetData>
  <mergeCells count="57">
    <mergeCell ref="G2:AM2"/>
    <mergeCell ref="CD2:DS2"/>
    <mergeCell ref="G3:AM3"/>
    <mergeCell ref="CD3:DS3"/>
    <mergeCell ref="G4:AM4"/>
    <mergeCell ref="CD4:DS4"/>
    <mergeCell ref="DJ12:DY12"/>
    <mergeCell ref="G5:AM5"/>
    <mergeCell ref="CD5:DS5"/>
    <mergeCell ref="G6:U6"/>
    <mergeCell ref="X6:AM6"/>
    <mergeCell ref="CD6:CU6"/>
    <mergeCell ref="N7:AC7"/>
    <mergeCell ref="AD7:AF7"/>
    <mergeCell ref="AG7:AI7"/>
    <mergeCell ref="AJ7:AK7"/>
    <mergeCell ref="CI7:CL7"/>
    <mergeCell ref="CP7:DH7"/>
    <mergeCell ref="DI7:DK7"/>
    <mergeCell ref="DL7:DO7"/>
    <mergeCell ref="A9:DS9"/>
    <mergeCell ref="DJ11:DY11"/>
    <mergeCell ref="DJ19:DY19"/>
    <mergeCell ref="AD13:AG13"/>
    <mergeCell ref="AS13:BJ13"/>
    <mergeCell ref="BL13:BR13"/>
    <mergeCell ref="DJ13:DY13"/>
    <mergeCell ref="DJ14:DY14"/>
    <mergeCell ref="DJ15:DY15"/>
    <mergeCell ref="A16:AK18"/>
    <mergeCell ref="AO16:CR18"/>
    <mergeCell ref="DJ16:DY16"/>
    <mergeCell ref="DJ17:DY17"/>
    <mergeCell ref="DJ18:DY18"/>
    <mergeCell ref="A28:AN30"/>
    <mergeCell ref="AS28:DP30"/>
    <mergeCell ref="A20:AK20"/>
    <mergeCell ref="AO20:CR20"/>
    <mergeCell ref="DJ20:DY20"/>
    <mergeCell ref="A21:AK21"/>
    <mergeCell ref="AO21:CR21"/>
    <mergeCell ref="DJ21:DY21"/>
    <mergeCell ref="A22:AK22"/>
    <mergeCell ref="AO22:CR22"/>
    <mergeCell ref="DJ22:DY22"/>
    <mergeCell ref="A24:AK26"/>
    <mergeCell ref="AO24:CR26"/>
    <mergeCell ref="A39:DU39"/>
    <mergeCell ref="A40:DU40"/>
    <mergeCell ref="A41:DU41"/>
    <mergeCell ref="A42:DU42"/>
    <mergeCell ref="A32:DU32"/>
    <mergeCell ref="A34:DU34"/>
    <mergeCell ref="A35:DU35"/>
    <mergeCell ref="A36:DU36"/>
    <mergeCell ref="A37:DU37"/>
    <mergeCell ref="A38:DU38"/>
  </mergeCells>
  <pageMargins left="0.59" right="0.11" top="0.23" bottom="0.2" header="0.19" footer="0.15"/>
  <pageSetup paperSize="9" scale="79" orientation="portrait" verticalDpi="0" r:id="rId1"/>
  <rowBreaks count="1" manualBreakCount="1">
    <brk id="35" max="128" man="1"/>
  </rowBreaks>
  <colBreaks count="1" manualBreakCount="1">
    <brk id="1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6"/>
  <sheetViews>
    <sheetView view="pageBreakPreview" zoomScale="77" zoomScaleNormal="100" zoomScaleSheetLayoutView="77" workbookViewId="0">
      <selection activeCell="D13" sqref="D13"/>
    </sheetView>
  </sheetViews>
  <sheetFormatPr defaultRowHeight="24" customHeight="1" x14ac:dyDescent="0.2"/>
  <cols>
    <col min="2" max="2" width="67.85546875" customWidth="1"/>
    <col min="3" max="3" width="27.140625" customWidth="1"/>
    <col min="4" max="4" width="42.140625" customWidth="1"/>
  </cols>
  <sheetData>
    <row r="1" spans="1:4" ht="24" customHeight="1" x14ac:dyDescent="0.3">
      <c r="A1" s="203" t="s">
        <v>80</v>
      </c>
      <c r="B1" s="203"/>
      <c r="C1" s="203"/>
      <c r="D1" s="9" t="s">
        <v>150</v>
      </c>
    </row>
    <row r="2" spans="1:4" ht="24" customHeight="1" x14ac:dyDescent="0.3">
      <c r="A2" s="204" t="s">
        <v>212</v>
      </c>
      <c r="B2" s="204"/>
      <c r="C2" s="204"/>
    </row>
    <row r="3" spans="1:4" ht="24" customHeight="1" x14ac:dyDescent="0.3">
      <c r="A3" s="52"/>
    </row>
    <row r="4" spans="1:4" ht="24" customHeight="1" x14ac:dyDescent="0.2">
      <c r="A4" s="54" t="s">
        <v>81</v>
      </c>
      <c r="B4" s="54" t="s">
        <v>0</v>
      </c>
      <c r="C4" s="54" t="s">
        <v>82</v>
      </c>
    </row>
    <row r="5" spans="1:4" ht="19.5" customHeight="1" x14ac:dyDescent="0.2">
      <c r="A5" s="54">
        <v>1</v>
      </c>
      <c r="B5" s="54">
        <v>2</v>
      </c>
      <c r="C5" s="54">
        <v>3</v>
      </c>
    </row>
    <row r="6" spans="1:4" ht="24" customHeight="1" x14ac:dyDescent="0.2">
      <c r="A6" s="55"/>
      <c r="B6" s="75" t="s">
        <v>83</v>
      </c>
      <c r="C6" s="125">
        <f>11045421.69/1000</f>
        <v>11045.421689999999</v>
      </c>
    </row>
    <row r="7" spans="1:4" ht="24" customHeight="1" x14ac:dyDescent="0.2">
      <c r="A7" s="55"/>
      <c r="B7" s="57" t="s">
        <v>84</v>
      </c>
      <c r="C7" s="74">
        <f>7506588.24/1000</f>
        <v>7506.58824</v>
      </c>
    </row>
    <row r="8" spans="1:4" ht="24" customHeight="1" x14ac:dyDescent="0.2">
      <c r="A8" s="55"/>
      <c r="B8" s="58" t="s">
        <v>4</v>
      </c>
      <c r="C8" s="74"/>
    </row>
    <row r="9" spans="1:4" ht="24" customHeight="1" x14ac:dyDescent="0.2">
      <c r="A9" s="55"/>
      <c r="B9" s="58" t="s">
        <v>85</v>
      </c>
      <c r="C9" s="74">
        <f>4810.76</f>
        <v>4810.76</v>
      </c>
    </row>
    <row r="10" spans="1:4" ht="24" customHeight="1" x14ac:dyDescent="0.2">
      <c r="A10" s="55"/>
      <c r="B10" s="59" t="s">
        <v>86</v>
      </c>
      <c r="C10" s="74">
        <f>3082614.47/1000</f>
        <v>3082.61447</v>
      </c>
    </row>
    <row r="11" spans="1:4" ht="24" customHeight="1" x14ac:dyDescent="0.2">
      <c r="A11" s="55"/>
      <c r="B11" s="58" t="s">
        <v>4</v>
      </c>
      <c r="C11" s="74"/>
    </row>
    <row r="12" spans="1:4" ht="24" customHeight="1" x14ac:dyDescent="0.2">
      <c r="A12" s="55"/>
      <c r="B12" s="58" t="s">
        <v>85</v>
      </c>
      <c r="C12" s="126">
        <f>135429.96/1000</f>
        <v>135.42995999999999</v>
      </c>
    </row>
    <row r="13" spans="1:4" ht="24" customHeight="1" x14ac:dyDescent="0.2">
      <c r="A13" s="55"/>
      <c r="B13" s="75" t="s">
        <v>87</v>
      </c>
      <c r="C13" s="125">
        <f>C14+C18+C19+C20+0.01</f>
        <v>820.93758000000003</v>
      </c>
    </row>
    <row r="14" spans="1:4" ht="24" customHeight="1" x14ac:dyDescent="0.2">
      <c r="A14" s="55"/>
      <c r="B14" s="57" t="s">
        <v>88</v>
      </c>
      <c r="C14" s="74">
        <f>C16+C17</f>
        <v>748.94667000000004</v>
      </c>
    </row>
    <row r="15" spans="1:4" ht="24" customHeight="1" x14ac:dyDescent="0.2">
      <c r="A15" s="55"/>
      <c r="B15" s="60" t="s">
        <v>4</v>
      </c>
      <c r="C15" s="74"/>
    </row>
    <row r="16" spans="1:4" ht="24" customHeight="1" x14ac:dyDescent="0.2">
      <c r="A16" s="55"/>
      <c r="B16" s="60" t="s">
        <v>89</v>
      </c>
      <c r="C16" s="74">
        <f>748946.67/1000</f>
        <v>748.94667000000004</v>
      </c>
    </row>
    <row r="17" spans="1:4" ht="33" customHeight="1" x14ac:dyDescent="0.2">
      <c r="A17" s="55"/>
      <c r="B17" s="60" t="s">
        <v>90</v>
      </c>
      <c r="C17" s="74">
        <v>0</v>
      </c>
    </row>
    <row r="18" spans="1:4" ht="24" customHeight="1" x14ac:dyDescent="0.2">
      <c r="A18" s="55"/>
      <c r="B18" s="57" t="s">
        <v>91</v>
      </c>
      <c r="C18" s="74">
        <v>0</v>
      </c>
    </row>
    <row r="19" spans="1:4" ht="24" customHeight="1" x14ac:dyDescent="0.2">
      <c r="A19" s="55"/>
      <c r="B19" s="57" t="s">
        <v>92</v>
      </c>
      <c r="C19" s="74">
        <f>(11528.52-17026.2)/1000</f>
        <v>-5.4976799999999999</v>
      </c>
      <c r="D19" s="31" t="s">
        <v>196</v>
      </c>
    </row>
    <row r="20" spans="1:4" ht="24" customHeight="1" x14ac:dyDescent="0.2">
      <c r="A20" s="55"/>
      <c r="B20" s="57" t="s">
        <v>93</v>
      </c>
      <c r="C20" s="74">
        <f>(77478.59)/1000</f>
        <v>77.478589999999997</v>
      </c>
      <c r="D20" s="31" t="s">
        <v>197</v>
      </c>
    </row>
    <row r="21" spans="1:4" ht="24" customHeight="1" x14ac:dyDescent="0.2">
      <c r="A21" s="55"/>
      <c r="B21" s="75" t="s">
        <v>94</v>
      </c>
      <c r="C21" s="125">
        <f>C23+C24</f>
        <v>2.286</v>
      </c>
    </row>
    <row r="22" spans="1:4" ht="24" customHeight="1" x14ac:dyDescent="0.2">
      <c r="A22" s="55"/>
      <c r="B22" s="57" t="s">
        <v>12</v>
      </c>
      <c r="C22" s="74"/>
    </row>
    <row r="23" spans="1:4" ht="24" customHeight="1" x14ac:dyDescent="0.2">
      <c r="A23" s="55"/>
      <c r="B23" s="57" t="s">
        <v>95</v>
      </c>
      <c r="C23" s="74">
        <v>0</v>
      </c>
    </row>
    <row r="24" spans="1:4" ht="24" customHeight="1" x14ac:dyDescent="0.2">
      <c r="A24" s="55"/>
      <c r="B24" s="57" t="s">
        <v>96</v>
      </c>
      <c r="C24" s="74">
        <f>(2286)/1000</f>
        <v>2.286</v>
      </c>
      <c r="D24" s="31" t="s">
        <v>198</v>
      </c>
    </row>
    <row r="25" spans="1:4" ht="24" customHeight="1" x14ac:dyDescent="0.2">
      <c r="A25" s="55"/>
      <c r="B25" s="58" t="s">
        <v>4</v>
      </c>
      <c r="C25" s="74"/>
    </row>
    <row r="26" spans="1:4" ht="24" customHeight="1" x14ac:dyDescent="0.2">
      <c r="A26" s="55"/>
      <c r="B26" s="58" t="s">
        <v>97</v>
      </c>
      <c r="C26" s="74">
        <v>0</v>
      </c>
    </row>
  </sheetData>
  <mergeCells count="2">
    <mergeCell ref="A1:C1"/>
    <mergeCell ref="A2:C2"/>
  </mergeCells>
  <pageMargins left="0.7" right="0.11" top="0.32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32"/>
  <sheetViews>
    <sheetView view="pageBreakPreview" zoomScaleNormal="100" zoomScaleSheetLayoutView="100" workbookViewId="0">
      <pane ySplit="7" topLeftCell="A39" activePane="bottomLeft" state="frozen"/>
      <selection pane="bottomLeft" activeCell="BF130" sqref="BF130"/>
    </sheetView>
  </sheetViews>
  <sheetFormatPr defaultRowHeight="10.15" customHeight="1" x14ac:dyDescent="0.2"/>
  <cols>
    <col min="1" max="15" width="0.28515625" style="9" customWidth="1"/>
    <col min="16" max="16" width="0.7109375" style="9" customWidth="1"/>
    <col min="17" max="22" width="0.28515625" style="9" customWidth="1"/>
    <col min="23" max="23" width="0.28515625" style="9" hidden="1" customWidth="1"/>
    <col min="24" max="49" width="0.28515625" style="9" customWidth="1"/>
    <col min="50" max="50" width="10.5703125" style="9" customWidth="1"/>
    <col min="51" max="51" width="6.7109375" style="9" customWidth="1"/>
    <col min="52" max="52" width="8.7109375" style="9" customWidth="1"/>
    <col min="53" max="53" width="16.5703125" style="9" customWidth="1"/>
    <col min="54" max="54" width="15.42578125" style="9" customWidth="1"/>
    <col min="55" max="55" width="15.140625" style="9" customWidth="1"/>
    <col min="56" max="56" width="12.140625" style="9" customWidth="1"/>
    <col min="57" max="57" width="14.85546875" style="9" customWidth="1"/>
    <col min="58" max="58" width="9.7109375" style="9" customWidth="1"/>
    <col min="59" max="59" width="15.140625" style="82" customWidth="1"/>
    <col min="60" max="60" width="14.5703125" style="9" bestFit="1" customWidth="1"/>
    <col min="61" max="61" width="14.7109375" style="9" customWidth="1"/>
    <col min="62" max="62" width="14.140625" style="9" customWidth="1"/>
    <col min="63" max="63" width="15.85546875" style="9" bestFit="1" customWidth="1"/>
    <col min="64" max="64" width="11.7109375" style="9" bestFit="1" customWidth="1"/>
    <col min="65" max="16384" width="9.140625" style="9"/>
  </cols>
  <sheetData>
    <row r="1" spans="1:63" ht="12.75" x14ac:dyDescent="0.2"/>
    <row r="2" spans="1:63" ht="15" customHeight="1" x14ac:dyDescent="0.2">
      <c r="A2" s="227" t="s">
        <v>213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</row>
    <row r="3" spans="1:63" ht="12.75" x14ac:dyDescent="0.2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"/>
      <c r="BD3" s="1"/>
      <c r="BE3" s="1"/>
      <c r="BF3" s="1"/>
    </row>
    <row r="4" spans="1:63" ht="12.75" customHeight="1" x14ac:dyDescent="0.2">
      <c r="A4" s="234" t="s">
        <v>0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6"/>
      <c r="AY4" s="243" t="s">
        <v>1</v>
      </c>
      <c r="AZ4" s="246" t="s">
        <v>2</v>
      </c>
      <c r="BA4" s="228" t="s">
        <v>3</v>
      </c>
      <c r="BB4" s="229"/>
      <c r="BC4" s="229"/>
      <c r="BD4" s="229"/>
      <c r="BE4" s="229"/>
      <c r="BF4" s="229"/>
    </row>
    <row r="5" spans="1:63" ht="12.75" customHeight="1" x14ac:dyDescent="0.2">
      <c r="A5" s="237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9"/>
      <c r="AY5" s="244"/>
      <c r="AZ5" s="232"/>
      <c r="BA5" s="232" t="s">
        <v>26</v>
      </c>
      <c r="BB5" s="245" t="s">
        <v>4</v>
      </c>
      <c r="BC5" s="245"/>
      <c r="BD5" s="245"/>
      <c r="BE5" s="245"/>
      <c r="BF5" s="245"/>
    </row>
    <row r="6" spans="1:63" ht="61.5" customHeight="1" x14ac:dyDescent="0.2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9"/>
      <c r="AY6" s="244"/>
      <c r="AZ6" s="232"/>
      <c r="BA6" s="232"/>
      <c r="BB6" s="231" t="s">
        <v>5</v>
      </c>
      <c r="BC6" s="231" t="s">
        <v>6</v>
      </c>
      <c r="BD6" s="231" t="s">
        <v>7</v>
      </c>
      <c r="BE6" s="231" t="s">
        <v>8</v>
      </c>
      <c r="BF6" s="231"/>
    </row>
    <row r="7" spans="1:63" ht="30" customHeight="1" x14ac:dyDescent="0.2">
      <c r="A7" s="240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2"/>
      <c r="AY7" s="245"/>
      <c r="AZ7" s="233"/>
      <c r="BA7" s="233"/>
      <c r="BB7" s="231"/>
      <c r="BC7" s="231"/>
      <c r="BD7" s="231"/>
      <c r="BE7" s="170" t="s">
        <v>9</v>
      </c>
      <c r="BF7" s="170" t="s">
        <v>10</v>
      </c>
      <c r="BG7" s="120">
        <f>BA9+BA117-BA30</f>
        <v>0</v>
      </c>
      <c r="BK7" s="9" t="s">
        <v>136</v>
      </c>
    </row>
    <row r="8" spans="1:63" ht="11.1" customHeight="1" x14ac:dyDescent="0.2">
      <c r="A8" s="228">
        <v>1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30"/>
      <c r="AY8" s="2">
        <v>2</v>
      </c>
      <c r="AZ8" s="72">
        <v>3</v>
      </c>
      <c r="BA8" s="72">
        <v>4</v>
      </c>
      <c r="BB8" s="171">
        <v>5</v>
      </c>
      <c r="BC8" s="171">
        <v>6</v>
      </c>
      <c r="BD8" s="171">
        <v>7</v>
      </c>
      <c r="BE8" s="170">
        <v>8</v>
      </c>
      <c r="BF8" s="170">
        <v>9</v>
      </c>
    </row>
    <row r="9" spans="1:63" ht="23.25" customHeight="1" x14ac:dyDescent="0.2">
      <c r="A9" s="3"/>
      <c r="B9" s="247" t="s">
        <v>27</v>
      </c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8"/>
      <c r="AY9" s="11">
        <v>100</v>
      </c>
      <c r="AZ9" s="73" t="s">
        <v>28</v>
      </c>
      <c r="BA9" s="144">
        <f>BA10+BA12+BA18+BA19+BA20+BA25+BA28+BA17</f>
        <v>21564061.199999999</v>
      </c>
      <c r="BB9" s="144">
        <f>BB12</f>
        <v>18929880</v>
      </c>
      <c r="BC9" s="144">
        <f>BC20</f>
        <v>1417862</v>
      </c>
      <c r="BD9" s="144">
        <f>BD20</f>
        <v>0</v>
      </c>
      <c r="BE9" s="144">
        <f>BE10+BE12+BE18+BE19+BE25+BE28+BE17</f>
        <v>1216319.2</v>
      </c>
      <c r="BF9" s="144">
        <f>BF12+BF25</f>
        <v>0</v>
      </c>
      <c r="BG9" s="104"/>
    </row>
    <row r="10" spans="1:63" ht="21.75" customHeight="1" x14ac:dyDescent="0.2">
      <c r="A10" s="5"/>
      <c r="B10" s="218" t="s">
        <v>52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9"/>
      <c r="AY10" s="8">
        <v>110</v>
      </c>
      <c r="AZ10" s="73" t="s">
        <v>237</v>
      </c>
      <c r="BA10" s="145">
        <f>BE10</f>
        <v>156319.20000000001</v>
      </c>
      <c r="BB10" s="146" t="s">
        <v>28</v>
      </c>
      <c r="BC10" s="146" t="s">
        <v>28</v>
      </c>
      <c r="BD10" s="146" t="s">
        <v>28</v>
      </c>
      <c r="BE10" s="146">
        <f>162000-5680.8</f>
        <v>156319.20000000001</v>
      </c>
      <c r="BF10" s="146" t="s">
        <v>28</v>
      </c>
      <c r="BG10" s="82" t="s">
        <v>159</v>
      </c>
    </row>
    <row r="11" spans="1:63" ht="13.5" customHeight="1" x14ac:dyDescent="0.2">
      <c r="A11" s="5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9"/>
      <c r="AY11" s="8"/>
      <c r="AZ11" s="73"/>
      <c r="BA11" s="145"/>
      <c r="BB11" s="146"/>
      <c r="BC11" s="146"/>
      <c r="BD11" s="146"/>
      <c r="BE11" s="146"/>
      <c r="BF11" s="146"/>
    </row>
    <row r="12" spans="1:63" ht="15" customHeight="1" x14ac:dyDescent="0.2">
      <c r="A12" s="5"/>
      <c r="B12" s="218" t="s">
        <v>32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9"/>
      <c r="AY12" s="8">
        <v>120</v>
      </c>
      <c r="AZ12" s="73" t="s">
        <v>238</v>
      </c>
      <c r="BA12" s="145">
        <f>BB12+BE12+BF12</f>
        <v>19829880</v>
      </c>
      <c r="BB12" s="146">
        <f>SUM(BB13:BB16)</f>
        <v>18929880</v>
      </c>
      <c r="BC12" s="146" t="s">
        <v>28</v>
      </c>
      <c r="BD12" s="146" t="s">
        <v>28</v>
      </c>
      <c r="BE12" s="146">
        <f>SUM(BE13:BE16)</f>
        <v>900000</v>
      </c>
      <c r="BF12" s="146">
        <v>0</v>
      </c>
      <c r="BG12" s="82" t="s">
        <v>36</v>
      </c>
    </row>
    <row r="13" spans="1:63" s="92" customFormat="1" ht="45.75" hidden="1" customHeight="1" x14ac:dyDescent="0.2">
      <c r="A13" s="249" t="s">
        <v>153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1"/>
      <c r="AY13" s="105"/>
      <c r="AZ13" s="106" t="s">
        <v>155</v>
      </c>
      <c r="BA13" s="147"/>
      <c r="BB13" s="147">
        <f>16907880+358000</f>
        <v>17265880</v>
      </c>
      <c r="BC13" s="147"/>
      <c r="BD13" s="147"/>
      <c r="BE13" s="147"/>
      <c r="BF13" s="147"/>
      <c r="BG13" s="205" t="s">
        <v>152</v>
      </c>
    </row>
    <row r="14" spans="1:63" s="92" customFormat="1" ht="33.75" hidden="1" customHeight="1" x14ac:dyDescent="0.2">
      <c r="A14" s="249" t="s">
        <v>154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1"/>
      <c r="AY14" s="105"/>
      <c r="AZ14" s="106" t="s">
        <v>156</v>
      </c>
      <c r="BA14" s="147"/>
      <c r="BB14" s="147">
        <f>1664000</f>
        <v>1664000</v>
      </c>
      <c r="BC14" s="147"/>
      <c r="BD14" s="147"/>
      <c r="BE14" s="147"/>
      <c r="BF14" s="147"/>
      <c r="BG14" s="205"/>
    </row>
    <row r="15" spans="1:63" s="92" customFormat="1" ht="33.75" hidden="1" customHeight="1" x14ac:dyDescent="0.2">
      <c r="A15" s="250" t="s">
        <v>226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2"/>
      <c r="AY15" s="105"/>
      <c r="AZ15" s="106" t="s">
        <v>155</v>
      </c>
      <c r="BA15" s="147"/>
      <c r="BB15" s="147"/>
      <c r="BC15" s="147"/>
      <c r="BD15" s="147"/>
      <c r="BE15" s="147"/>
      <c r="BF15" s="147"/>
      <c r="BG15" s="205"/>
    </row>
    <row r="16" spans="1:63" s="92" customFormat="1" ht="16.5" hidden="1" customHeight="1" x14ac:dyDescent="0.2">
      <c r="A16" s="249" t="s">
        <v>158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1"/>
      <c r="AY16" s="105"/>
      <c r="AZ16" s="106" t="s">
        <v>157</v>
      </c>
      <c r="BA16" s="147"/>
      <c r="BB16" s="147"/>
      <c r="BC16" s="147"/>
      <c r="BD16" s="147"/>
      <c r="BE16" s="147">
        <f>700000+100000+100000</f>
        <v>900000</v>
      </c>
      <c r="BF16" s="147"/>
      <c r="BG16" s="205"/>
    </row>
    <row r="17" spans="1:59" s="130" customFormat="1" ht="31.5" customHeight="1" x14ac:dyDescent="0.2">
      <c r="A17" s="215" t="s">
        <v>242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7"/>
      <c r="AY17" s="162">
        <v>130</v>
      </c>
      <c r="AZ17" s="73" t="s">
        <v>244</v>
      </c>
      <c r="BA17" s="145">
        <f>BE17</f>
        <v>100000</v>
      </c>
      <c r="BB17" s="148"/>
      <c r="BC17" s="148"/>
      <c r="BD17" s="148"/>
      <c r="BE17" s="148">
        <f>100000</f>
        <v>100000</v>
      </c>
      <c r="BF17" s="148"/>
      <c r="BG17" s="163"/>
    </row>
    <row r="18" spans="1:59" ht="24" customHeight="1" x14ac:dyDescent="0.2">
      <c r="A18" s="5"/>
      <c r="B18" s="218" t="s">
        <v>31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8">
        <v>140</v>
      </c>
      <c r="AZ18" s="73" t="s">
        <v>239</v>
      </c>
      <c r="BA18" s="145">
        <f>BE18</f>
        <v>60000</v>
      </c>
      <c r="BB18" s="146" t="s">
        <v>28</v>
      </c>
      <c r="BC18" s="146" t="s">
        <v>28</v>
      </c>
      <c r="BD18" s="146" t="s">
        <v>28</v>
      </c>
      <c r="BE18" s="148">
        <f>60000</f>
        <v>60000</v>
      </c>
      <c r="BF18" s="146" t="s">
        <v>28</v>
      </c>
      <c r="BG18" s="82" t="s">
        <v>199</v>
      </c>
    </row>
    <row r="19" spans="1:59" ht="62.25" customHeight="1" x14ac:dyDescent="0.2">
      <c r="A19" s="5"/>
      <c r="B19" s="218" t="s">
        <v>30</v>
      </c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9"/>
      <c r="AY19" s="8">
        <v>150</v>
      </c>
      <c r="AZ19" s="73" t="s">
        <v>37</v>
      </c>
      <c r="BA19" s="145">
        <f>BE19</f>
        <v>0</v>
      </c>
      <c r="BB19" s="146" t="s">
        <v>28</v>
      </c>
      <c r="BC19" s="146" t="s">
        <v>28</v>
      </c>
      <c r="BD19" s="146" t="s">
        <v>28</v>
      </c>
      <c r="BE19" s="146">
        <v>0</v>
      </c>
      <c r="BF19" s="146" t="s">
        <v>28</v>
      </c>
    </row>
    <row r="20" spans="1:59" ht="26.25" customHeight="1" x14ac:dyDescent="0.2">
      <c r="A20" s="5"/>
      <c r="B20" s="218" t="s">
        <v>33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9"/>
      <c r="AY20" s="8">
        <v>160</v>
      </c>
      <c r="AZ20" s="73" t="s">
        <v>240</v>
      </c>
      <c r="BA20" s="145">
        <f>BC20+BD20</f>
        <v>1417862</v>
      </c>
      <c r="BB20" s="146" t="s">
        <v>28</v>
      </c>
      <c r="BC20" s="146">
        <f>SUM(BC21:BC24)</f>
        <v>1417862</v>
      </c>
      <c r="BD20" s="146">
        <v>0</v>
      </c>
      <c r="BE20" s="146" t="s">
        <v>28</v>
      </c>
      <c r="BF20" s="146" t="s">
        <v>28</v>
      </c>
      <c r="BG20" s="82" t="s">
        <v>38</v>
      </c>
    </row>
    <row r="21" spans="1:59" s="92" customFormat="1" ht="66" hidden="1" customHeight="1" x14ac:dyDescent="0.2">
      <c r="A21" s="249" t="s">
        <v>176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1"/>
      <c r="AY21" s="105"/>
      <c r="AZ21" s="106" t="s">
        <v>177</v>
      </c>
      <c r="BA21" s="147"/>
      <c r="BB21" s="147"/>
      <c r="BC21" s="147">
        <f>15000+2482</f>
        <v>17482</v>
      </c>
      <c r="BD21" s="147"/>
      <c r="BE21" s="147"/>
      <c r="BF21" s="147"/>
      <c r="BG21" s="82"/>
    </row>
    <row r="22" spans="1:59" s="92" customFormat="1" ht="63" hidden="1" customHeight="1" x14ac:dyDescent="0.2">
      <c r="A22" s="249" t="s">
        <v>194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1"/>
      <c r="AY22" s="105"/>
      <c r="AZ22" s="106" t="s">
        <v>193</v>
      </c>
      <c r="BA22" s="147"/>
      <c r="BB22" s="147"/>
      <c r="BC22" s="147">
        <f>37380</f>
        <v>37380</v>
      </c>
      <c r="BD22" s="147"/>
      <c r="BE22" s="147"/>
      <c r="BF22" s="147"/>
      <c r="BG22" s="82"/>
    </row>
    <row r="23" spans="1:59" s="92" customFormat="1" ht="24.75" hidden="1" customHeight="1" x14ac:dyDescent="0.2">
      <c r="A23" s="249" t="s">
        <v>225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1"/>
      <c r="AY23" s="105"/>
      <c r="AZ23" s="106" t="s">
        <v>246</v>
      </c>
      <c r="BA23" s="147"/>
      <c r="BB23" s="147"/>
      <c r="BC23" s="147">
        <f>100000</f>
        <v>100000</v>
      </c>
      <c r="BD23" s="147"/>
      <c r="BE23" s="147"/>
      <c r="BF23" s="147"/>
      <c r="BG23" s="82"/>
    </row>
    <row r="24" spans="1:59" s="92" customFormat="1" ht="12.75" hidden="1" customHeight="1" x14ac:dyDescent="0.2">
      <c r="A24" s="249" t="s">
        <v>248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1"/>
      <c r="AY24" s="105"/>
      <c r="AZ24" s="106" t="s">
        <v>247</v>
      </c>
      <c r="BA24" s="147"/>
      <c r="BB24" s="147"/>
      <c r="BC24" s="147">
        <v>1263000</v>
      </c>
      <c r="BD24" s="147"/>
      <c r="BE24" s="147"/>
      <c r="BF24" s="147"/>
      <c r="BG24" s="82"/>
    </row>
    <row r="25" spans="1:59" ht="12.75" customHeight="1" x14ac:dyDescent="0.2">
      <c r="A25" s="5"/>
      <c r="B25" s="218" t="s">
        <v>34</v>
      </c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9"/>
      <c r="AY25" s="8">
        <v>170</v>
      </c>
      <c r="AZ25" s="73" t="s">
        <v>241</v>
      </c>
      <c r="BA25" s="145">
        <f>BE25</f>
        <v>0</v>
      </c>
      <c r="BB25" s="146" t="s">
        <v>28</v>
      </c>
      <c r="BC25" s="146" t="s">
        <v>28</v>
      </c>
      <c r="BD25" s="146" t="s">
        <v>28</v>
      </c>
      <c r="BE25" s="146">
        <f>SUM(BE26:BE27)</f>
        <v>0</v>
      </c>
      <c r="BF25" s="146">
        <v>0</v>
      </c>
      <c r="BG25" s="82" t="s">
        <v>210</v>
      </c>
    </row>
    <row r="26" spans="1:59" s="92" customFormat="1" ht="32.25" hidden="1" customHeight="1" x14ac:dyDescent="0.2">
      <c r="A26" s="249" t="s">
        <v>182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1"/>
      <c r="AY26" s="105"/>
      <c r="AZ26" s="106" t="s">
        <v>160</v>
      </c>
      <c r="BA26" s="147"/>
      <c r="BB26" s="147"/>
      <c r="BC26" s="147"/>
      <c r="BD26" s="147"/>
      <c r="BE26" s="147">
        <v>0</v>
      </c>
      <c r="BF26" s="147"/>
      <c r="BG26" s="82"/>
    </row>
    <row r="27" spans="1:59" s="92" customFormat="1" ht="23.25" hidden="1" customHeight="1" x14ac:dyDescent="0.2">
      <c r="A27" s="249" t="s">
        <v>208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1"/>
      <c r="AY27" s="105"/>
      <c r="AZ27" s="106" t="s">
        <v>207</v>
      </c>
      <c r="BA27" s="147"/>
      <c r="BB27" s="147"/>
      <c r="BC27" s="147"/>
      <c r="BD27" s="147"/>
      <c r="BE27" s="147"/>
      <c r="BF27" s="147"/>
      <c r="BG27" s="82"/>
    </row>
    <row r="28" spans="1:59" ht="26.25" customHeight="1" x14ac:dyDescent="0.2">
      <c r="A28" s="5"/>
      <c r="B28" s="218" t="s">
        <v>35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9"/>
      <c r="AY28" s="8">
        <v>180</v>
      </c>
      <c r="AZ28" s="73" t="s">
        <v>53</v>
      </c>
      <c r="BA28" s="145">
        <f>BE28</f>
        <v>0</v>
      </c>
      <c r="BB28" s="146" t="s">
        <v>28</v>
      </c>
      <c r="BC28" s="146" t="s">
        <v>28</v>
      </c>
      <c r="BD28" s="146" t="s">
        <v>28</v>
      </c>
      <c r="BE28" s="146">
        <v>0</v>
      </c>
      <c r="BF28" s="146">
        <v>0</v>
      </c>
    </row>
    <row r="29" spans="1:59" ht="26.25" customHeight="1" x14ac:dyDescent="0.2">
      <c r="A29" s="10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9"/>
      <c r="AY29" s="8"/>
      <c r="AZ29" s="73"/>
      <c r="BA29" s="145"/>
      <c r="BB29" s="146"/>
      <c r="BC29" s="146"/>
      <c r="BD29" s="146"/>
      <c r="BE29" s="146"/>
      <c r="BF29" s="146"/>
    </row>
    <row r="30" spans="1:59" ht="24.75" customHeight="1" x14ac:dyDescent="0.2">
      <c r="A30" s="3"/>
      <c r="B30" s="247" t="s">
        <v>39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8"/>
      <c r="AY30" s="11">
        <v>200</v>
      </c>
      <c r="AZ30" s="73" t="s">
        <v>28</v>
      </c>
      <c r="BA30" s="144">
        <f t="shared" ref="BA30:BF30" si="0">BA31+BA43+BA46+BA55+BA57+BA58</f>
        <v>22313007.870000001</v>
      </c>
      <c r="BB30" s="144">
        <f t="shared" si="0"/>
        <v>19545984.52</v>
      </c>
      <c r="BC30" s="144">
        <f t="shared" si="0"/>
        <v>1417862.0000000002</v>
      </c>
      <c r="BD30" s="144">
        <f t="shared" si="0"/>
        <v>0</v>
      </c>
      <c r="BE30" s="144">
        <f t="shared" si="0"/>
        <v>1349161.3499999999</v>
      </c>
      <c r="BF30" s="144">
        <f t="shared" si="0"/>
        <v>0</v>
      </c>
      <c r="BG30" s="107"/>
    </row>
    <row r="31" spans="1:59" ht="51" customHeight="1" x14ac:dyDescent="0.2">
      <c r="A31" s="5"/>
      <c r="B31" s="208" t="s">
        <v>40</v>
      </c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9"/>
      <c r="AY31" s="12">
        <v>210</v>
      </c>
      <c r="AZ31" s="73"/>
      <c r="BA31" s="145">
        <f t="shared" ref="BA31:BF31" si="1">BA32+BA39+BA42</f>
        <v>16628593.199999999</v>
      </c>
      <c r="BB31" s="149">
        <f t="shared" si="1"/>
        <v>16027654.139999999</v>
      </c>
      <c r="BC31" s="149">
        <f t="shared" si="1"/>
        <v>17482</v>
      </c>
      <c r="BD31" s="149">
        <f t="shared" si="1"/>
        <v>0</v>
      </c>
      <c r="BE31" s="149">
        <f t="shared" si="1"/>
        <v>583457.06000000006</v>
      </c>
      <c r="BF31" s="149">
        <f t="shared" si="1"/>
        <v>0</v>
      </c>
    </row>
    <row r="32" spans="1:59" ht="36" customHeight="1" x14ac:dyDescent="0.2">
      <c r="A32" s="5"/>
      <c r="B32" s="208" t="s">
        <v>41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9"/>
      <c r="AY32" s="12">
        <v>211</v>
      </c>
      <c r="AZ32" s="73"/>
      <c r="BA32" s="145">
        <f>BA33+BA36</f>
        <v>16470700.199999999</v>
      </c>
      <c r="BB32" s="149">
        <f t="shared" ref="BB32:BF32" si="2">BB33+BB36</f>
        <v>15895654.139999999</v>
      </c>
      <c r="BC32" s="149">
        <f t="shared" si="2"/>
        <v>0</v>
      </c>
      <c r="BD32" s="149">
        <f t="shared" si="2"/>
        <v>0</v>
      </c>
      <c r="BE32" s="149">
        <f>BE33+BE36</f>
        <v>575046.06000000006</v>
      </c>
      <c r="BF32" s="149">
        <f t="shared" si="2"/>
        <v>0</v>
      </c>
    </row>
    <row r="33" spans="1:59" ht="35.25" customHeight="1" x14ac:dyDescent="0.2">
      <c r="A33" s="6"/>
      <c r="B33" s="7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9"/>
      <c r="AY33" s="8"/>
      <c r="AZ33" s="73" t="s">
        <v>15</v>
      </c>
      <c r="BA33" s="145">
        <f>BB33+BC33+BD33+BE33</f>
        <v>12716999.209999999</v>
      </c>
      <c r="BB33" s="146">
        <f>BB34+BB35</f>
        <v>12274321.859999999</v>
      </c>
      <c r="BC33" s="146">
        <v>0</v>
      </c>
      <c r="BD33" s="146">
        <v>0</v>
      </c>
      <c r="BE33" s="146">
        <f>324000+37977.35+34700+46000</f>
        <v>442677.35</v>
      </c>
      <c r="BF33" s="146">
        <v>0</v>
      </c>
      <c r="BG33" s="82" t="s">
        <v>163</v>
      </c>
    </row>
    <row r="34" spans="1:59" s="92" customFormat="1" ht="12.75" hidden="1" customHeight="1" x14ac:dyDescent="0.2">
      <c r="A34" s="142"/>
      <c r="B34" s="143"/>
      <c r="C34" s="220" t="s">
        <v>191</v>
      </c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1"/>
      <c r="AY34" s="105"/>
      <c r="AZ34" s="106"/>
      <c r="BA34" s="147"/>
      <c r="BB34" s="147">
        <f>11621511+276000</f>
        <v>11897511</v>
      </c>
      <c r="BC34" s="147"/>
      <c r="BD34" s="147"/>
      <c r="BE34" s="147"/>
      <c r="BF34" s="147"/>
      <c r="BG34" s="110"/>
    </row>
    <row r="35" spans="1:59" s="92" customFormat="1" ht="12.75" hidden="1" customHeight="1" x14ac:dyDescent="0.2">
      <c r="A35" s="142"/>
      <c r="B35" s="143"/>
      <c r="C35" s="220" t="s">
        <v>192</v>
      </c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1"/>
      <c r="AY35" s="105"/>
      <c r="AZ35" s="106"/>
      <c r="BA35" s="147"/>
      <c r="BB35" s="147">
        <v>376810.86</v>
      </c>
      <c r="BC35" s="147"/>
      <c r="BD35" s="147"/>
      <c r="BE35" s="147"/>
      <c r="BF35" s="147"/>
      <c r="BG35" s="110"/>
    </row>
    <row r="36" spans="1:59" ht="12.75" customHeight="1" x14ac:dyDescent="0.2">
      <c r="A36" s="154"/>
      <c r="B36" s="172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9"/>
      <c r="AY36" s="8"/>
      <c r="AZ36" s="73" t="s">
        <v>16</v>
      </c>
      <c r="BA36" s="145">
        <f>BB36+BC36+BD36+BE36</f>
        <v>3753700.9899999998</v>
      </c>
      <c r="BB36" s="146">
        <f>BB37+BB38</f>
        <v>3621332.28</v>
      </c>
      <c r="BC36" s="146">
        <v>0</v>
      </c>
      <c r="BD36" s="146">
        <v>0</v>
      </c>
      <c r="BE36" s="146">
        <f>96000+11852.33+10516.38+14000</f>
        <v>132368.71000000002</v>
      </c>
      <c r="BF36" s="146">
        <v>0</v>
      </c>
      <c r="BG36" s="82" t="s">
        <v>162</v>
      </c>
    </row>
    <row r="37" spans="1:59" s="92" customFormat="1" ht="12.75" hidden="1" customHeight="1" x14ac:dyDescent="0.2">
      <c r="A37" s="139"/>
      <c r="B37" s="222" t="s">
        <v>191</v>
      </c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3"/>
      <c r="AY37" s="105"/>
      <c r="AZ37" s="106"/>
      <c r="BA37" s="147"/>
      <c r="BB37" s="147">
        <f>3428172+82000</f>
        <v>3510172</v>
      </c>
      <c r="BC37" s="147"/>
      <c r="BD37" s="147"/>
      <c r="BE37" s="147"/>
      <c r="BF37" s="147"/>
      <c r="BG37" s="110"/>
    </row>
    <row r="38" spans="1:59" s="92" customFormat="1" ht="17.25" hidden="1" customHeight="1" x14ac:dyDescent="0.2">
      <c r="A38" s="139"/>
      <c r="B38" s="222" t="s">
        <v>192</v>
      </c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3"/>
      <c r="AY38" s="105"/>
      <c r="AZ38" s="106"/>
      <c r="BA38" s="147"/>
      <c r="BB38" s="147">
        <v>111160.28</v>
      </c>
      <c r="BC38" s="147"/>
      <c r="BD38" s="147"/>
      <c r="BE38" s="147"/>
      <c r="BF38" s="147"/>
      <c r="BG38" s="110"/>
    </row>
    <row r="39" spans="1:59" ht="21.75" customHeight="1" x14ac:dyDescent="0.2">
      <c r="A39" s="154"/>
      <c r="B39" s="172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9"/>
      <c r="AY39" s="8"/>
      <c r="AZ39" s="73" t="s">
        <v>14</v>
      </c>
      <c r="BA39" s="145">
        <f>BB39+BC39+BD39+BE39</f>
        <v>70093</v>
      </c>
      <c r="BB39" s="146">
        <f>57700-13500</f>
        <v>44200</v>
      </c>
      <c r="BC39" s="146">
        <f>17482</f>
        <v>17482</v>
      </c>
      <c r="BD39" s="146">
        <v>0</v>
      </c>
      <c r="BE39" s="146">
        <f>SUM(BE40:BE41)</f>
        <v>8411</v>
      </c>
      <c r="BF39" s="146">
        <v>0</v>
      </c>
      <c r="BG39" s="82" t="s">
        <v>161</v>
      </c>
    </row>
    <row r="40" spans="1:59" s="92" customFormat="1" ht="12.75" hidden="1" customHeight="1" x14ac:dyDescent="0.2">
      <c r="A40" s="139"/>
      <c r="B40" s="140"/>
      <c r="C40" s="220" t="s">
        <v>224</v>
      </c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1"/>
      <c r="AY40" s="105"/>
      <c r="AZ40" s="106"/>
      <c r="BA40" s="147"/>
      <c r="BB40" s="147"/>
      <c r="BC40" s="147"/>
      <c r="BD40" s="147"/>
      <c r="BE40" s="147">
        <f>8000</f>
        <v>8000</v>
      </c>
      <c r="BF40" s="147"/>
      <c r="BG40" s="110"/>
    </row>
    <row r="41" spans="1:59" s="92" customFormat="1" ht="12.75" hidden="1" customHeight="1" x14ac:dyDescent="0.2">
      <c r="A41" s="139"/>
      <c r="B41" s="140"/>
      <c r="C41" s="220" t="s">
        <v>245</v>
      </c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1"/>
      <c r="AY41" s="105"/>
      <c r="AZ41" s="106"/>
      <c r="BA41" s="147"/>
      <c r="BB41" s="147"/>
      <c r="BC41" s="147"/>
      <c r="BD41" s="147"/>
      <c r="BE41" s="147">
        <v>411</v>
      </c>
      <c r="BF41" s="147"/>
      <c r="BG41" s="110"/>
    </row>
    <row r="42" spans="1:59" ht="42.75" customHeight="1" x14ac:dyDescent="0.2">
      <c r="A42" s="154"/>
      <c r="B42" s="172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9"/>
      <c r="AY42" s="8"/>
      <c r="AZ42" s="73" t="s">
        <v>20</v>
      </c>
      <c r="BA42" s="145">
        <f>BB42+BC42+BD42+BE42</f>
        <v>87800</v>
      </c>
      <c r="BB42" s="146">
        <f>87800</f>
        <v>87800</v>
      </c>
      <c r="BC42" s="146">
        <v>0</v>
      </c>
      <c r="BD42" s="146">
        <v>0</v>
      </c>
      <c r="BE42" s="146"/>
      <c r="BF42" s="146">
        <v>0</v>
      </c>
      <c r="BG42" s="82" t="s">
        <v>233</v>
      </c>
    </row>
    <row r="43" spans="1:59" ht="12.75" customHeight="1" x14ac:dyDescent="0.2">
      <c r="A43" s="5"/>
      <c r="B43" s="208" t="s">
        <v>42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9"/>
      <c r="AY43" s="12">
        <v>220</v>
      </c>
      <c r="AZ43" s="73"/>
      <c r="BA43" s="145">
        <f>BA45</f>
        <v>0</v>
      </c>
      <c r="BB43" s="149">
        <f t="shared" ref="BB43:BF43" si="3">BB45</f>
        <v>0</v>
      </c>
      <c r="BC43" s="149">
        <f t="shared" si="3"/>
        <v>0</v>
      </c>
      <c r="BD43" s="149">
        <f t="shared" si="3"/>
        <v>0</v>
      </c>
      <c r="BE43" s="149">
        <f t="shared" si="3"/>
        <v>0</v>
      </c>
      <c r="BF43" s="149">
        <f t="shared" si="3"/>
        <v>0</v>
      </c>
    </row>
    <row r="44" spans="1:59" ht="12.75" customHeight="1" x14ac:dyDescent="0.2">
      <c r="A44" s="6"/>
      <c r="B44" s="7"/>
      <c r="C44" s="218" t="s">
        <v>12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9"/>
      <c r="AY44" s="8"/>
      <c r="AZ44" s="73"/>
      <c r="BA44" s="145"/>
      <c r="BB44" s="146"/>
      <c r="BC44" s="146"/>
      <c r="BD44" s="146"/>
      <c r="BE44" s="146"/>
      <c r="BF44" s="146"/>
    </row>
    <row r="45" spans="1:59" ht="27.75" customHeight="1" x14ac:dyDescent="0.2">
      <c r="A45" s="154"/>
      <c r="B45" s="172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9"/>
      <c r="AY45" s="8"/>
      <c r="AZ45" s="73" t="s">
        <v>17</v>
      </c>
      <c r="BA45" s="145">
        <f>BB45+BC45+BD45+BE45</f>
        <v>0</v>
      </c>
      <c r="BB45" s="146">
        <v>0</v>
      </c>
      <c r="BC45" s="146">
        <v>0</v>
      </c>
      <c r="BD45" s="146">
        <v>0</v>
      </c>
      <c r="BE45" s="146">
        <v>0</v>
      </c>
      <c r="BF45" s="146">
        <v>0</v>
      </c>
    </row>
    <row r="46" spans="1:59" ht="12.75" customHeight="1" x14ac:dyDescent="0.2">
      <c r="A46" s="154"/>
      <c r="B46" s="172"/>
      <c r="C46" s="208" t="s">
        <v>43</v>
      </c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9"/>
      <c r="AY46" s="12">
        <v>230</v>
      </c>
      <c r="AZ46" s="73"/>
      <c r="BA46" s="145">
        <f t="shared" ref="BA46:BF46" si="4">BA49+BA50+BA54+BA48</f>
        <v>445500.3</v>
      </c>
      <c r="BB46" s="149">
        <f t="shared" si="4"/>
        <v>391240</v>
      </c>
      <c r="BC46" s="149">
        <f t="shared" si="4"/>
        <v>43287.05</v>
      </c>
      <c r="BD46" s="149">
        <f t="shared" si="4"/>
        <v>0</v>
      </c>
      <c r="BE46" s="149">
        <f t="shared" si="4"/>
        <v>10973.25</v>
      </c>
      <c r="BF46" s="149">
        <f t="shared" si="4"/>
        <v>0</v>
      </c>
    </row>
    <row r="47" spans="1:59" ht="26.25" customHeight="1" x14ac:dyDescent="0.2">
      <c r="A47" s="154"/>
      <c r="B47" s="172"/>
      <c r="C47" s="218" t="s">
        <v>12</v>
      </c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9"/>
      <c r="AY47" s="8"/>
      <c r="AZ47" s="73"/>
      <c r="BA47" s="145"/>
      <c r="BB47" s="146"/>
      <c r="BC47" s="146"/>
      <c r="BD47" s="146"/>
      <c r="BE47" s="146"/>
      <c r="BF47" s="146"/>
    </row>
    <row r="48" spans="1:59" ht="24.75" customHeight="1" x14ac:dyDescent="0.2">
      <c r="A48" s="224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6"/>
      <c r="AY48" s="8"/>
      <c r="AZ48" s="73" t="s">
        <v>151</v>
      </c>
      <c r="BA48" s="145">
        <f>BB48+BC48+BD48+BE48</f>
        <v>43287.05</v>
      </c>
      <c r="BB48" s="146"/>
      <c r="BC48" s="146">
        <f>20545.73+22741.32</f>
        <v>43287.05</v>
      </c>
      <c r="BD48" s="146">
        <v>0</v>
      </c>
      <c r="BE48" s="146">
        <v>0</v>
      </c>
      <c r="BF48" s="146">
        <v>0</v>
      </c>
      <c r="BG48" s="82" t="s">
        <v>250</v>
      </c>
    </row>
    <row r="49" spans="1:63" ht="12.75" customHeight="1" x14ac:dyDescent="0.2">
      <c r="A49" s="153"/>
      <c r="B49" s="213" t="s">
        <v>202</v>
      </c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4"/>
      <c r="AY49" s="8"/>
      <c r="AZ49" s="73" t="s">
        <v>21</v>
      </c>
      <c r="BA49" s="145">
        <f>BB49+BC49+BD49+BE49</f>
        <v>356912</v>
      </c>
      <c r="BB49" s="146">
        <f>356912</f>
        <v>356912</v>
      </c>
      <c r="BC49" s="146">
        <v>0</v>
      </c>
      <c r="BD49" s="146">
        <v>0</v>
      </c>
      <c r="BE49" s="146">
        <v>0</v>
      </c>
      <c r="BF49" s="146">
        <v>0</v>
      </c>
      <c r="BG49" s="82" t="s">
        <v>234</v>
      </c>
    </row>
    <row r="50" spans="1:63" ht="12.75" customHeight="1" x14ac:dyDescent="0.2">
      <c r="A50" s="6"/>
      <c r="B50" s="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9"/>
      <c r="AY50" s="8"/>
      <c r="AZ50" s="73" t="s">
        <v>18</v>
      </c>
      <c r="BA50" s="145">
        <f>BB50+BC50+BD50+BE50</f>
        <v>34328</v>
      </c>
      <c r="BB50" s="146">
        <f>BB51+BB52+BB53</f>
        <v>34328</v>
      </c>
      <c r="BC50" s="146">
        <v>0</v>
      </c>
      <c r="BD50" s="146">
        <v>0</v>
      </c>
      <c r="BE50" s="146">
        <f>SUM(BE51:BE53)</f>
        <v>0</v>
      </c>
      <c r="BF50" s="146">
        <v>0</v>
      </c>
      <c r="BG50" s="82" t="s">
        <v>235</v>
      </c>
    </row>
    <row r="51" spans="1:63" s="92" customFormat="1" ht="12.75" hidden="1" customHeight="1" x14ac:dyDescent="0.2">
      <c r="A51" s="210" t="s">
        <v>203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2"/>
      <c r="AY51" s="105"/>
      <c r="AZ51" s="106"/>
      <c r="BA51" s="147"/>
      <c r="BB51" s="147">
        <f>1450</f>
        <v>1450</v>
      </c>
      <c r="BC51" s="147"/>
      <c r="BD51" s="147"/>
      <c r="BE51" s="147"/>
      <c r="BF51" s="147"/>
      <c r="BG51" s="110"/>
    </row>
    <row r="52" spans="1:63" s="92" customFormat="1" ht="12.75" hidden="1" customHeight="1" x14ac:dyDescent="0.2">
      <c r="A52" s="210" t="s">
        <v>188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2"/>
      <c r="AY52" s="105"/>
      <c r="AZ52" s="106"/>
      <c r="BA52" s="147"/>
      <c r="BB52" s="147">
        <f>17078+15800</f>
        <v>32878</v>
      </c>
      <c r="BC52" s="147"/>
      <c r="BD52" s="147"/>
      <c r="BE52" s="147"/>
      <c r="BF52" s="147"/>
      <c r="BG52" s="110"/>
    </row>
    <row r="53" spans="1:63" s="92" customFormat="1" ht="12.75" hidden="1" customHeight="1" x14ac:dyDescent="0.2">
      <c r="A53" s="210" t="s">
        <v>190</v>
      </c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2"/>
      <c r="AY53" s="105"/>
      <c r="AZ53" s="106"/>
      <c r="BA53" s="147"/>
      <c r="BB53" s="147"/>
      <c r="BC53" s="147"/>
      <c r="BD53" s="147"/>
      <c r="BE53" s="147">
        <f>2000+7000-2400-3850-2750</f>
        <v>0</v>
      </c>
      <c r="BF53" s="147"/>
      <c r="BG53" s="110"/>
    </row>
    <row r="54" spans="1:63" ht="33" customHeight="1" x14ac:dyDescent="0.2">
      <c r="A54" s="154"/>
      <c r="B54" s="172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9"/>
      <c r="AY54" s="8"/>
      <c r="AZ54" s="73" t="s">
        <v>19</v>
      </c>
      <c r="BA54" s="145">
        <f t="shared" ref="BA54" si="5">BB54+BC54+BD54+BE54</f>
        <v>10973.25</v>
      </c>
      <c r="BB54" s="146"/>
      <c r="BC54" s="146">
        <v>0</v>
      </c>
      <c r="BD54" s="146">
        <v>0</v>
      </c>
      <c r="BE54" s="146">
        <f>5000+5973.25</f>
        <v>10973.25</v>
      </c>
      <c r="BF54" s="146">
        <v>0</v>
      </c>
      <c r="BG54" s="206" t="s">
        <v>236</v>
      </c>
      <c r="BH54" s="207"/>
      <c r="BI54" s="207"/>
      <c r="BJ54" s="207"/>
      <c r="BK54" s="207"/>
    </row>
    <row r="55" spans="1:63" ht="12.75" customHeight="1" x14ac:dyDescent="0.2">
      <c r="A55" s="154"/>
      <c r="B55" s="172"/>
      <c r="C55" s="208" t="s">
        <v>44</v>
      </c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9"/>
      <c r="AY55" s="12">
        <v>240</v>
      </c>
      <c r="AZ55" s="73"/>
      <c r="BA55" s="145"/>
      <c r="BB55" s="149"/>
      <c r="BC55" s="149"/>
      <c r="BD55" s="149"/>
      <c r="BE55" s="149"/>
      <c r="BF55" s="149"/>
    </row>
    <row r="56" spans="1:63" ht="29.25" customHeight="1" x14ac:dyDescent="0.2">
      <c r="A56" s="154"/>
      <c r="B56" s="172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9"/>
      <c r="AY56" s="8"/>
      <c r="AZ56" s="73"/>
      <c r="BA56" s="145"/>
      <c r="BB56" s="146"/>
      <c r="BC56" s="146"/>
      <c r="BD56" s="146"/>
      <c r="BE56" s="146"/>
      <c r="BF56" s="146"/>
    </row>
    <row r="57" spans="1:63" ht="35.25" customHeight="1" x14ac:dyDescent="0.2">
      <c r="A57" s="154"/>
      <c r="B57" s="172"/>
      <c r="C57" s="208" t="s">
        <v>45</v>
      </c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9"/>
      <c r="AY57" s="12">
        <v>250</v>
      </c>
      <c r="AZ57" s="73" t="s">
        <v>55</v>
      </c>
      <c r="BA57" s="145">
        <f>BD57</f>
        <v>0</v>
      </c>
      <c r="BB57" s="149">
        <v>0</v>
      </c>
      <c r="BC57" s="149">
        <v>0</v>
      </c>
      <c r="BD57" s="149">
        <v>0</v>
      </c>
      <c r="BE57" s="149">
        <v>0</v>
      </c>
      <c r="BF57" s="149">
        <v>0</v>
      </c>
      <c r="BG57" s="82" t="s">
        <v>56</v>
      </c>
    </row>
    <row r="58" spans="1:63" ht="12.75" customHeight="1" x14ac:dyDescent="0.2">
      <c r="A58" s="5"/>
      <c r="B58" s="208" t="s">
        <v>54</v>
      </c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9"/>
      <c r="AY58" s="12">
        <v>260</v>
      </c>
      <c r="AZ58" s="73" t="s">
        <v>13</v>
      </c>
      <c r="BA58" s="145">
        <f>BB58+BC58+BD58+BE58</f>
        <v>5238914.37</v>
      </c>
      <c r="BB58" s="149">
        <f>SUM(BB59:BB85)</f>
        <v>3127090.3800000004</v>
      </c>
      <c r="BC58" s="149">
        <f>SUM(BC59:BC108)</f>
        <v>1357092.9500000002</v>
      </c>
      <c r="BD58" s="149">
        <v>0</v>
      </c>
      <c r="BE58" s="149">
        <f>SUM(BE59:BE108)</f>
        <v>754731.0399999998</v>
      </c>
      <c r="BF58" s="149">
        <v>0</v>
      </c>
    </row>
    <row r="59" spans="1:63" s="92" customFormat="1" ht="33" hidden="1" customHeight="1" x14ac:dyDescent="0.2">
      <c r="A59" s="249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1"/>
      <c r="AY59" s="253">
        <v>4000</v>
      </c>
      <c r="AZ59" s="106" t="s">
        <v>164</v>
      </c>
      <c r="BA59" s="147"/>
      <c r="BB59" s="147">
        <f>44400</f>
        <v>44400</v>
      </c>
      <c r="BC59" s="147"/>
      <c r="BD59" s="147"/>
      <c r="BE59" s="147"/>
      <c r="BF59" s="147"/>
      <c r="BG59" s="205" t="s">
        <v>152</v>
      </c>
    </row>
    <row r="60" spans="1:63" s="92" customFormat="1" ht="42" hidden="1" customHeight="1" x14ac:dyDescent="0.2">
      <c r="A60" s="249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1"/>
      <c r="AY60" s="254"/>
      <c r="AZ60" s="106" t="s">
        <v>165</v>
      </c>
      <c r="BA60" s="147"/>
      <c r="BB60" s="147">
        <f>1116642+793.1</f>
        <v>1117435.1000000001</v>
      </c>
      <c r="BC60" s="147"/>
      <c r="BD60" s="147"/>
      <c r="BE60" s="147"/>
      <c r="BF60" s="147"/>
      <c r="BG60" s="205"/>
    </row>
    <row r="61" spans="1:63" s="92" customFormat="1" ht="12.75" hidden="1" customHeight="1" x14ac:dyDescent="0.2">
      <c r="A61" s="249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1"/>
      <c r="AY61" s="254"/>
      <c r="AZ61" s="106" t="s">
        <v>166</v>
      </c>
      <c r="BA61" s="147"/>
      <c r="BB61" s="147">
        <f>881756+9961.99</f>
        <v>891717.99</v>
      </c>
      <c r="BC61" s="147"/>
      <c r="BD61" s="147"/>
      <c r="BE61" s="147"/>
      <c r="BF61" s="147"/>
      <c r="BG61" s="205"/>
    </row>
    <row r="62" spans="1:63" s="92" customFormat="1" ht="12.75" hidden="1" customHeight="1" x14ac:dyDescent="0.2">
      <c r="A62" s="249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1"/>
      <c r="AY62" s="254"/>
      <c r="AZ62" s="106" t="s">
        <v>167</v>
      </c>
      <c r="BA62" s="147"/>
      <c r="BB62" s="147">
        <f>48809+1074.03</f>
        <v>49883.03</v>
      </c>
      <c r="BC62" s="147"/>
      <c r="BD62" s="147"/>
      <c r="BE62" s="147"/>
      <c r="BF62" s="147"/>
      <c r="BG62" s="205"/>
    </row>
    <row r="63" spans="1:63" s="92" customFormat="1" ht="12.75" hidden="1" customHeight="1" x14ac:dyDescent="0.2">
      <c r="A63" s="249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1"/>
      <c r="AY63" s="254"/>
      <c r="AZ63" s="106" t="s">
        <v>168</v>
      </c>
      <c r="BA63" s="147"/>
      <c r="BB63" s="147">
        <f>302106+66601.28-11829.12</f>
        <v>356878.16000000003</v>
      </c>
      <c r="BC63" s="147"/>
      <c r="BD63" s="147"/>
      <c r="BE63" s="147"/>
      <c r="BF63" s="147"/>
      <c r="BG63" s="205"/>
    </row>
    <row r="64" spans="1:63" s="92" customFormat="1" ht="12.75" hidden="1" customHeight="1" x14ac:dyDescent="0.2">
      <c r="A64" s="249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1"/>
      <c r="AY64" s="254"/>
      <c r="AZ64" s="106" t="s">
        <v>169</v>
      </c>
      <c r="BA64" s="147"/>
      <c r="BB64" s="147">
        <f>434944-37209.98+13500</f>
        <v>411234.02</v>
      </c>
      <c r="BC64" s="147"/>
      <c r="BD64" s="147"/>
      <c r="BE64" s="147"/>
      <c r="BF64" s="147"/>
      <c r="BG64" s="205"/>
    </row>
    <row r="65" spans="1:60" s="92" customFormat="1" ht="12.75" hidden="1" customHeight="1" x14ac:dyDescent="0.2">
      <c r="A65" s="249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1"/>
      <c r="AY65" s="254"/>
      <c r="AZ65" s="106" t="s">
        <v>170</v>
      </c>
      <c r="BA65" s="147"/>
      <c r="BB65" s="147">
        <f>156800-29391.3</f>
        <v>127408.7</v>
      </c>
      <c r="BC65" s="147"/>
      <c r="BD65" s="147"/>
      <c r="BE65" s="147"/>
      <c r="BF65" s="147"/>
      <c r="BG65" s="205"/>
    </row>
    <row r="66" spans="1:60" s="92" customFormat="1" ht="12.75" hidden="1" customHeight="1" x14ac:dyDescent="0.2">
      <c r="A66" s="255" t="s">
        <v>172</v>
      </c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256"/>
      <c r="AM66" s="256"/>
      <c r="AN66" s="256"/>
      <c r="AO66" s="256"/>
      <c r="AP66" s="256"/>
      <c r="AQ66" s="256"/>
      <c r="AR66" s="256"/>
      <c r="AS66" s="256"/>
      <c r="AT66" s="256"/>
      <c r="AU66" s="256"/>
      <c r="AV66" s="256"/>
      <c r="AW66" s="256"/>
      <c r="AX66" s="257"/>
      <c r="AY66" s="254"/>
      <c r="AZ66" s="106" t="s">
        <v>169</v>
      </c>
      <c r="BA66" s="147"/>
      <c r="BB66" s="147"/>
      <c r="BC66" s="147"/>
      <c r="BD66" s="147"/>
      <c r="BE66" s="147"/>
      <c r="BF66" s="147"/>
      <c r="BG66" s="205"/>
    </row>
    <row r="67" spans="1:60" s="92" customFormat="1" ht="12.75" hidden="1" customHeight="1" x14ac:dyDescent="0.2">
      <c r="A67" s="258"/>
      <c r="B67" s="259"/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59"/>
      <c r="AU67" s="259"/>
      <c r="AV67" s="259"/>
      <c r="AW67" s="259"/>
      <c r="AX67" s="260"/>
      <c r="AY67" s="254"/>
      <c r="AZ67" s="106" t="s">
        <v>171</v>
      </c>
      <c r="BA67" s="147"/>
      <c r="BB67" s="147"/>
      <c r="BC67" s="147"/>
      <c r="BD67" s="147"/>
      <c r="BE67" s="147"/>
      <c r="BF67" s="147"/>
      <c r="BG67" s="205"/>
    </row>
    <row r="68" spans="1:60" s="92" customFormat="1" ht="12.75" hidden="1" customHeight="1" x14ac:dyDescent="0.2">
      <c r="A68" s="249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1"/>
      <c r="AY68" s="261">
        <v>4199</v>
      </c>
      <c r="AZ68" s="106" t="s">
        <v>164</v>
      </c>
      <c r="BA68" s="147"/>
      <c r="BB68" s="147">
        <v>3485.64</v>
      </c>
      <c r="BC68" s="147"/>
      <c r="BD68" s="147"/>
      <c r="BE68" s="147"/>
      <c r="BF68" s="147"/>
      <c r="BG68" s="205"/>
    </row>
    <row r="69" spans="1:60" s="92" customFormat="1" ht="12.75" hidden="1" customHeight="1" x14ac:dyDescent="0.2">
      <c r="A69" s="249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1"/>
      <c r="AY69" s="261"/>
      <c r="AZ69" s="106" t="s">
        <v>165</v>
      </c>
      <c r="BA69" s="147"/>
      <c r="BB69" s="147">
        <f>64.97+169.35</f>
        <v>234.32</v>
      </c>
      <c r="BC69" s="147"/>
      <c r="BD69" s="147"/>
      <c r="BE69" s="147"/>
      <c r="BF69" s="147"/>
      <c r="BG69" s="205"/>
      <c r="BH69" s="156">
        <f>BB60+BB61+BB62+BB69+BB70+BB71+BE88+BE89+BE90+BE100+BE101+BE102</f>
        <v>2316786.2000000002</v>
      </c>
    </row>
    <row r="70" spans="1:60" s="92" customFormat="1" ht="12.75" hidden="1" customHeight="1" x14ac:dyDescent="0.2">
      <c r="A70" s="249"/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1"/>
      <c r="AY70" s="261"/>
      <c r="AZ70" s="106" t="s">
        <v>166</v>
      </c>
      <c r="BA70" s="147"/>
      <c r="BB70" s="147">
        <f>48254.6+2816.4</f>
        <v>51071</v>
      </c>
      <c r="BC70" s="147"/>
      <c r="BD70" s="147"/>
      <c r="BE70" s="147"/>
      <c r="BF70" s="147"/>
      <c r="BG70" s="205"/>
    </row>
    <row r="71" spans="1:60" s="92" customFormat="1" ht="12.75" hidden="1" customHeight="1" x14ac:dyDescent="0.2">
      <c r="A71" s="249"/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1"/>
      <c r="AY71" s="261"/>
      <c r="AZ71" s="106" t="s">
        <v>167</v>
      </c>
      <c r="BA71" s="147"/>
      <c r="BB71" s="147">
        <f>2844.73+101.78</f>
        <v>2946.51</v>
      </c>
      <c r="BC71" s="147"/>
      <c r="BD71" s="147"/>
      <c r="BE71" s="147"/>
      <c r="BF71" s="147"/>
      <c r="BG71" s="205"/>
    </row>
    <row r="72" spans="1:60" s="92" customFormat="1" ht="12.75" hidden="1" customHeight="1" x14ac:dyDescent="0.2">
      <c r="A72" s="150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2"/>
      <c r="AY72" s="261"/>
      <c r="AZ72" s="106" t="s">
        <v>168</v>
      </c>
      <c r="BA72" s="147"/>
      <c r="BB72" s="147">
        <f>42975.44+11912.47</f>
        <v>54887.91</v>
      </c>
      <c r="BC72" s="147"/>
      <c r="BD72" s="147"/>
      <c r="BE72" s="147"/>
      <c r="BF72" s="147"/>
      <c r="BG72" s="205"/>
      <c r="BH72" s="92">
        <v>0</v>
      </c>
    </row>
    <row r="73" spans="1:60" s="92" customFormat="1" ht="12.75" hidden="1" customHeight="1" x14ac:dyDescent="0.2">
      <c r="A73" s="150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2"/>
      <c r="AY73" s="261"/>
      <c r="AZ73" s="106" t="s">
        <v>169</v>
      </c>
      <c r="BA73" s="147"/>
      <c r="BB73" s="147">
        <f>18360-15000</f>
        <v>3360</v>
      </c>
      <c r="BC73" s="147"/>
      <c r="BD73" s="147"/>
      <c r="BE73" s="147"/>
      <c r="BF73" s="147"/>
      <c r="BG73" s="205"/>
    </row>
    <row r="74" spans="1:60" s="92" customFormat="1" ht="12.75" hidden="1" customHeight="1" x14ac:dyDescent="0.2">
      <c r="A74" s="150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2"/>
      <c r="AY74" s="261"/>
      <c r="AZ74" s="106" t="s">
        <v>170</v>
      </c>
      <c r="BA74" s="147"/>
      <c r="BB74" s="147">
        <v>11638</v>
      </c>
      <c r="BC74" s="147"/>
      <c r="BD74" s="147"/>
      <c r="BE74" s="147"/>
      <c r="BF74" s="147"/>
      <c r="BG74" s="205"/>
    </row>
    <row r="75" spans="1:60" s="92" customFormat="1" ht="12.75" hidden="1" customHeight="1" x14ac:dyDescent="0.2">
      <c r="A75" s="157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2"/>
      <c r="AY75" s="261"/>
      <c r="AZ75" s="106" t="s">
        <v>169</v>
      </c>
      <c r="BA75" s="147"/>
      <c r="BB75" s="147"/>
      <c r="BC75" s="147"/>
      <c r="BD75" s="147"/>
      <c r="BE75" s="147"/>
      <c r="BF75" s="147"/>
      <c r="BG75" s="205"/>
    </row>
    <row r="76" spans="1:60" s="92" customFormat="1" ht="12.75" hidden="1" customHeight="1" x14ac:dyDescent="0.2">
      <c r="A76" s="157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2"/>
      <c r="AY76" s="261"/>
      <c r="AZ76" s="106" t="s">
        <v>171</v>
      </c>
      <c r="BA76" s="147"/>
      <c r="BB76" s="147">
        <v>510</v>
      </c>
      <c r="BC76" s="147"/>
      <c r="BD76" s="147"/>
      <c r="BE76" s="147"/>
      <c r="BF76" s="147"/>
      <c r="BG76" s="205"/>
    </row>
    <row r="77" spans="1:60" s="92" customFormat="1" ht="12.75" hidden="1" customHeight="1" x14ac:dyDescent="0.2">
      <c r="A77" s="157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2"/>
      <c r="AY77" s="261"/>
      <c r="AZ77" s="106" t="s">
        <v>170</v>
      </c>
      <c r="BA77" s="147"/>
      <c r="BB77" s="147"/>
      <c r="BC77" s="147"/>
      <c r="BD77" s="147"/>
      <c r="BE77" s="147"/>
      <c r="BF77" s="147"/>
      <c r="BG77" s="205"/>
    </row>
    <row r="78" spans="1:60" s="92" customFormat="1" ht="12.75" hidden="1" customHeight="1" x14ac:dyDescent="0.2">
      <c r="A78" s="249" t="s">
        <v>195</v>
      </c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1"/>
      <c r="AY78" s="105"/>
      <c r="AZ78" s="106" t="s">
        <v>171</v>
      </c>
      <c r="BA78" s="147"/>
      <c r="BB78" s="147"/>
      <c r="BC78" s="147">
        <f>13696</f>
        <v>13696</v>
      </c>
      <c r="BD78" s="147"/>
      <c r="BE78" s="147"/>
      <c r="BF78" s="147"/>
      <c r="BG78" s="205"/>
    </row>
    <row r="79" spans="1:60" s="92" customFormat="1" ht="12.75" hidden="1" customHeight="1" x14ac:dyDescent="0.2">
      <c r="A79" s="249" t="s">
        <v>195</v>
      </c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1"/>
      <c r="AY79" s="105"/>
      <c r="AZ79" s="106" t="s">
        <v>169</v>
      </c>
      <c r="BA79" s="147"/>
      <c r="BB79" s="147"/>
      <c r="BC79" s="147">
        <f>23684</f>
        <v>23684</v>
      </c>
      <c r="BD79" s="147"/>
      <c r="BE79" s="147"/>
      <c r="BF79" s="147"/>
      <c r="BG79" s="205"/>
    </row>
    <row r="80" spans="1:60" s="92" customFormat="1" ht="12.75" hidden="1" customHeight="1" x14ac:dyDescent="0.2">
      <c r="A80" s="249" t="s">
        <v>174</v>
      </c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1"/>
      <c r="AY80" s="105"/>
      <c r="AZ80" s="106" t="s">
        <v>175</v>
      </c>
      <c r="BA80" s="147"/>
      <c r="BB80" s="147"/>
      <c r="BC80" s="147"/>
      <c r="BD80" s="147"/>
      <c r="BE80" s="147"/>
      <c r="BF80" s="147"/>
      <c r="BG80" s="205"/>
    </row>
    <row r="81" spans="1:63" s="92" customFormat="1" ht="12.75" hidden="1" x14ac:dyDescent="0.2">
      <c r="A81" s="249" t="s">
        <v>204</v>
      </c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1"/>
      <c r="AY81" s="105"/>
      <c r="AZ81" s="106" t="s">
        <v>249</v>
      </c>
      <c r="BA81" s="147"/>
      <c r="BB81" s="147"/>
      <c r="BC81" s="147">
        <v>649062.05000000005</v>
      </c>
      <c r="BD81" s="147"/>
      <c r="BE81" s="147"/>
      <c r="BF81" s="147"/>
      <c r="BG81" s="205"/>
    </row>
    <row r="82" spans="1:63" s="92" customFormat="1" ht="12.75" hidden="1" x14ac:dyDescent="0.2">
      <c r="A82" s="249" t="s">
        <v>204</v>
      </c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1"/>
      <c r="AY82" s="105"/>
      <c r="AZ82" s="106" t="s">
        <v>167</v>
      </c>
      <c r="BA82" s="147"/>
      <c r="BB82" s="147"/>
      <c r="BC82" s="147">
        <v>52397.66</v>
      </c>
      <c r="BD82" s="147"/>
      <c r="BE82" s="147"/>
      <c r="BF82" s="147"/>
      <c r="BG82" s="205"/>
    </row>
    <row r="83" spans="1:63" s="92" customFormat="1" ht="12.75" hidden="1" x14ac:dyDescent="0.2">
      <c r="A83" s="249" t="s">
        <v>204</v>
      </c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0"/>
      <c r="AL83" s="220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1"/>
      <c r="AY83" s="105"/>
      <c r="AZ83" s="106" t="s">
        <v>168</v>
      </c>
      <c r="BA83" s="147"/>
      <c r="BB83" s="147"/>
      <c r="BC83" s="147">
        <v>518253.24</v>
      </c>
      <c r="BD83" s="147"/>
      <c r="BE83" s="147"/>
      <c r="BF83" s="147"/>
      <c r="BG83" s="205"/>
    </row>
    <row r="84" spans="1:63" s="92" customFormat="1" ht="14.25" hidden="1" customHeight="1" x14ac:dyDescent="0.2">
      <c r="A84" s="249" t="s">
        <v>225</v>
      </c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1"/>
      <c r="AY84" s="105"/>
      <c r="AZ84" s="106" t="s">
        <v>169</v>
      </c>
      <c r="BA84" s="147"/>
      <c r="BB84" s="147"/>
      <c r="BC84" s="147">
        <f>100000</f>
        <v>100000</v>
      </c>
      <c r="BD84" s="147"/>
      <c r="BE84" s="147"/>
      <c r="BF84" s="147"/>
      <c r="BG84" s="205"/>
    </row>
    <row r="85" spans="1:63" s="92" customFormat="1" ht="14.25" hidden="1" customHeight="1" x14ac:dyDescent="0.2">
      <c r="A85" s="249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1"/>
      <c r="AY85" s="105"/>
      <c r="AZ85" s="106" t="s">
        <v>171</v>
      </c>
      <c r="BA85" s="147"/>
      <c r="BB85" s="147"/>
      <c r="BC85" s="147"/>
      <c r="BD85" s="147"/>
      <c r="BE85" s="147"/>
      <c r="BF85" s="147"/>
      <c r="BG85" s="205"/>
    </row>
    <row r="86" spans="1:63" s="92" customFormat="1" ht="14.25" hidden="1" customHeight="1" x14ac:dyDescent="0.2">
      <c r="A86" s="249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0"/>
      <c r="AL86" s="220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1"/>
      <c r="AY86" s="105"/>
      <c r="AZ86" s="106" t="s">
        <v>170</v>
      </c>
      <c r="BA86" s="147"/>
      <c r="BB86" s="147"/>
      <c r="BC86" s="147"/>
      <c r="BD86" s="147"/>
      <c r="BE86" s="147"/>
      <c r="BF86" s="147"/>
      <c r="BG86" s="205"/>
      <c r="BH86" s="93" t="s">
        <v>183</v>
      </c>
      <c r="BI86" s="94" t="s">
        <v>184</v>
      </c>
      <c r="BJ86" s="94" t="s">
        <v>185</v>
      </c>
      <c r="BK86" s="94" t="s">
        <v>146</v>
      </c>
    </row>
    <row r="87" spans="1:63" s="92" customFormat="1" ht="14.25" hidden="1" customHeight="1" x14ac:dyDescent="0.2">
      <c r="A87" s="166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8"/>
      <c r="AY87" s="105">
        <v>2001</v>
      </c>
      <c r="AZ87" s="106" t="s">
        <v>164</v>
      </c>
      <c r="BA87" s="147"/>
      <c r="BB87" s="147"/>
      <c r="BC87" s="147"/>
      <c r="BD87" s="147"/>
      <c r="BE87" s="147">
        <f>24000+3380.4-3300</f>
        <v>24080.400000000001</v>
      </c>
      <c r="BF87" s="147"/>
      <c r="BG87" s="205"/>
      <c r="BH87" s="93">
        <v>221</v>
      </c>
      <c r="BI87" s="95">
        <f>BE87+BE103</f>
        <v>50552.72</v>
      </c>
      <c r="BJ87" s="95">
        <f>BB59+BB68</f>
        <v>47885.64</v>
      </c>
      <c r="BK87" s="95">
        <f>BI87+BJ87</f>
        <v>98438.36</v>
      </c>
    </row>
    <row r="88" spans="1:63" s="92" customFormat="1" ht="14.25" hidden="1" customHeight="1" x14ac:dyDescent="0.2">
      <c r="A88" s="166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8" t="s">
        <v>178</v>
      </c>
      <c r="AY88" s="105">
        <v>2001</v>
      </c>
      <c r="AZ88" s="106" t="s">
        <v>173</v>
      </c>
      <c r="BA88" s="147"/>
      <c r="BB88" s="147"/>
      <c r="BC88" s="147"/>
      <c r="BD88" s="147"/>
      <c r="BE88" s="147">
        <f>13000+28.46</f>
        <v>13028.46</v>
      </c>
      <c r="BF88" s="147"/>
      <c r="BG88" s="205"/>
      <c r="BH88" s="93">
        <v>222</v>
      </c>
      <c r="BI88" s="95">
        <f>0</f>
        <v>0</v>
      </c>
      <c r="BJ88" s="95">
        <f>BC80</f>
        <v>0</v>
      </c>
      <c r="BK88" s="95">
        <f t="shared" ref="BK88:BK94" si="6">BI88+BJ88</f>
        <v>0</v>
      </c>
    </row>
    <row r="89" spans="1:63" s="92" customFormat="1" ht="14.25" hidden="1" customHeight="1" x14ac:dyDescent="0.2">
      <c r="A89" s="166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8" t="s">
        <v>179</v>
      </c>
      <c r="AY89" s="105">
        <v>2001</v>
      </c>
      <c r="AZ89" s="106" t="s">
        <v>173</v>
      </c>
      <c r="BA89" s="147"/>
      <c r="BB89" s="147"/>
      <c r="BC89" s="147"/>
      <c r="BD89" s="147"/>
      <c r="BE89" s="147">
        <f>20000+244.24</f>
        <v>20244.240000000002</v>
      </c>
      <c r="BF89" s="147"/>
      <c r="BG89" s="205"/>
      <c r="BH89" s="93">
        <v>223</v>
      </c>
      <c r="BI89" s="95">
        <f>BE88+BE89+BE90+BE100+BE101+BE102</f>
        <v>203498.25</v>
      </c>
      <c r="BJ89" s="95">
        <f>BB60+BB61+BB62+BB69+BB70+BB71+BC81+BC82</f>
        <v>2814747.66</v>
      </c>
      <c r="BK89" s="95">
        <f t="shared" si="6"/>
        <v>3018245.91</v>
      </c>
    </row>
    <row r="90" spans="1:63" s="92" customFormat="1" ht="14.25" hidden="1" customHeight="1" x14ac:dyDescent="0.2">
      <c r="A90" s="166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8" t="s">
        <v>180</v>
      </c>
      <c r="AY90" s="105">
        <v>2001</v>
      </c>
      <c r="AZ90" s="106" t="s">
        <v>173</v>
      </c>
      <c r="BA90" s="147"/>
      <c r="BB90" s="147"/>
      <c r="BC90" s="147"/>
      <c r="BD90" s="147"/>
      <c r="BE90" s="147">
        <f>2000+0.02</f>
        <v>2000.02</v>
      </c>
      <c r="BF90" s="147"/>
      <c r="BG90" s="205"/>
      <c r="BH90" s="93">
        <v>225</v>
      </c>
      <c r="BI90" s="95">
        <f>BE91+BE96+BE104+BE95</f>
        <v>153568.53</v>
      </c>
      <c r="BJ90" s="95">
        <f>BB63+BB72+BC83</f>
        <v>930019.31</v>
      </c>
      <c r="BK90" s="95">
        <f t="shared" si="6"/>
        <v>1083587.8400000001</v>
      </c>
    </row>
    <row r="91" spans="1:63" s="92" customFormat="1" ht="14.25" hidden="1" customHeight="1" x14ac:dyDescent="0.2">
      <c r="A91" s="166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8"/>
      <c r="AY91" s="105">
        <v>2001</v>
      </c>
      <c r="AZ91" s="106" t="s">
        <v>168</v>
      </c>
      <c r="BA91" s="147"/>
      <c r="BB91" s="147"/>
      <c r="BC91" s="147"/>
      <c r="BD91" s="147"/>
      <c r="BE91" s="147">
        <f>45000-13031.84+48810.37</f>
        <v>80778.53</v>
      </c>
      <c r="BF91" s="147"/>
      <c r="BG91" s="205"/>
      <c r="BH91" s="93">
        <v>226</v>
      </c>
      <c r="BI91" s="95">
        <f>BE92+BE97+BE105</f>
        <v>88907.08</v>
      </c>
      <c r="BJ91" s="95">
        <f>BB64+BB66+BB75+BC79+BB73+BC84</f>
        <v>538278.02</v>
      </c>
      <c r="BK91" s="95">
        <f t="shared" si="6"/>
        <v>627185.1</v>
      </c>
    </row>
    <row r="92" spans="1:63" s="92" customFormat="1" ht="14.25" hidden="1" customHeight="1" x14ac:dyDescent="0.2">
      <c r="A92" s="166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8"/>
      <c r="AY92" s="105">
        <v>2001</v>
      </c>
      <c r="AZ92" s="106" t="s">
        <v>169</v>
      </c>
      <c r="BA92" s="147"/>
      <c r="BB92" s="147"/>
      <c r="BC92" s="147"/>
      <c r="BD92" s="147"/>
      <c r="BE92" s="147">
        <f>60000-30380.3</f>
        <v>29619.7</v>
      </c>
      <c r="BF92" s="147"/>
      <c r="BG92" s="205"/>
      <c r="BH92" s="93">
        <v>290</v>
      </c>
      <c r="BI92" s="95"/>
      <c r="BJ92" s="95">
        <f>BB67+BB76+BC78</f>
        <v>14206</v>
      </c>
      <c r="BK92" s="95">
        <f t="shared" si="6"/>
        <v>14206</v>
      </c>
    </row>
    <row r="93" spans="1:63" s="92" customFormat="1" ht="14.25" hidden="1" customHeight="1" x14ac:dyDescent="0.2">
      <c r="A93" s="166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8"/>
      <c r="AY93" s="105">
        <v>2001</v>
      </c>
      <c r="AZ93" s="106" t="s">
        <v>181</v>
      </c>
      <c r="BA93" s="147"/>
      <c r="BB93" s="147"/>
      <c r="BC93" s="147"/>
      <c r="BD93" s="147"/>
      <c r="BE93" s="147">
        <f>30000+76771.3+8150</f>
        <v>114921.3</v>
      </c>
      <c r="BF93" s="147"/>
      <c r="BG93" s="205"/>
      <c r="BH93" s="93">
        <v>310</v>
      </c>
      <c r="BI93" s="95">
        <f>BE93+BE98+BE106</f>
        <v>114921.3</v>
      </c>
      <c r="BJ93" s="95">
        <f>0</f>
        <v>0</v>
      </c>
      <c r="BK93" s="95">
        <f t="shared" si="6"/>
        <v>114921.3</v>
      </c>
    </row>
    <row r="94" spans="1:63" s="92" customFormat="1" ht="14.25" hidden="1" customHeight="1" x14ac:dyDescent="0.2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8"/>
      <c r="AY94" s="105">
        <v>2001</v>
      </c>
      <c r="AZ94" s="106" t="s">
        <v>170</v>
      </c>
      <c r="BA94" s="147"/>
      <c r="BB94" s="147"/>
      <c r="BC94" s="147"/>
      <c r="BD94" s="147"/>
      <c r="BE94" s="147">
        <f>73000+8991-30059.16-8150+40000</f>
        <v>83781.84</v>
      </c>
      <c r="BF94" s="147"/>
      <c r="BG94" s="205"/>
      <c r="BH94" s="93">
        <v>340</v>
      </c>
      <c r="BI94" s="95">
        <f>BE94+BE99+BE107+BE108</f>
        <v>143283.16</v>
      </c>
      <c r="BJ94" s="95">
        <f>BB77+BB65+BB74</f>
        <v>139046.70000000001</v>
      </c>
      <c r="BK94" s="95">
        <f t="shared" si="6"/>
        <v>282329.86</v>
      </c>
    </row>
    <row r="95" spans="1:63" s="92" customFormat="1" ht="14.25" hidden="1" customHeight="1" x14ac:dyDescent="0.2">
      <c r="A95" s="166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8"/>
      <c r="AY95" s="105">
        <v>2006</v>
      </c>
      <c r="AZ95" s="106" t="s">
        <v>168</v>
      </c>
      <c r="BA95" s="147"/>
      <c r="BB95" s="147"/>
      <c r="BC95" s="147"/>
      <c r="BD95" s="147"/>
      <c r="BE95" s="147">
        <f>60000</f>
        <v>60000</v>
      </c>
      <c r="BF95" s="147"/>
      <c r="BG95" s="205"/>
      <c r="BH95" s="93" t="s">
        <v>146</v>
      </c>
      <c r="BI95" s="95">
        <f>SUM(BI87:BI94)</f>
        <v>754731.04</v>
      </c>
      <c r="BJ95" s="95">
        <f>SUM(BJ87:BJ94)</f>
        <v>4484183.330000001</v>
      </c>
      <c r="BK95" s="95">
        <f t="shared" ref="BK95" si="7">SUM(BK87:BK94)</f>
        <v>5238914.37</v>
      </c>
    </row>
    <row r="96" spans="1:63" s="92" customFormat="1" ht="14.25" hidden="1" customHeight="1" x14ac:dyDescent="0.2">
      <c r="A96" s="166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8"/>
      <c r="AY96" s="105">
        <v>2010</v>
      </c>
      <c r="AZ96" s="106" t="s">
        <v>168</v>
      </c>
      <c r="BA96" s="147"/>
      <c r="BB96" s="147"/>
      <c r="BC96" s="147"/>
      <c r="BD96" s="147"/>
      <c r="BE96" s="147"/>
      <c r="BF96" s="147"/>
      <c r="BG96" s="205"/>
      <c r="BH96" s="93"/>
      <c r="BI96" s="97">
        <f>BE58-BI95</f>
        <v>0</v>
      </c>
      <c r="BJ96" s="97">
        <f>(BB58+BC58)-BJ95</f>
        <v>0</v>
      </c>
      <c r="BK96" s="96">
        <f>BA58-BK95</f>
        <v>0</v>
      </c>
    </row>
    <row r="97" spans="1:64" s="92" customFormat="1" ht="14.25" hidden="1" customHeight="1" x14ac:dyDescent="0.2">
      <c r="A97" s="166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8"/>
      <c r="AY97" s="105">
        <v>2010</v>
      </c>
      <c r="AZ97" s="106" t="s">
        <v>169</v>
      </c>
      <c r="BA97" s="147"/>
      <c r="BB97" s="147"/>
      <c r="BC97" s="147"/>
      <c r="BD97" s="147"/>
      <c r="BE97" s="147"/>
      <c r="BF97" s="147"/>
      <c r="BG97" s="205"/>
    </row>
    <row r="98" spans="1:64" s="92" customFormat="1" ht="14.25" hidden="1" customHeight="1" x14ac:dyDescent="0.2">
      <c r="A98" s="166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8"/>
      <c r="AY98" s="105">
        <v>2010</v>
      </c>
      <c r="AZ98" s="106" t="s">
        <v>181</v>
      </c>
      <c r="BA98" s="147"/>
      <c r="BB98" s="147"/>
      <c r="BC98" s="147"/>
      <c r="BD98" s="147"/>
      <c r="BE98" s="147"/>
      <c r="BF98" s="147"/>
      <c r="BG98" s="205"/>
      <c r="BH98" s="93" t="s">
        <v>186</v>
      </c>
      <c r="BI98" s="93" t="s">
        <v>184</v>
      </c>
      <c r="BJ98" s="93" t="s">
        <v>252</v>
      </c>
      <c r="BK98" s="98" t="s">
        <v>251</v>
      </c>
    </row>
    <row r="99" spans="1:64" s="92" customFormat="1" ht="14.25" hidden="1" customHeight="1" x14ac:dyDescent="0.2">
      <c r="A99" s="166"/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8"/>
      <c r="AY99" s="105">
        <v>2010</v>
      </c>
      <c r="AZ99" s="106" t="s">
        <v>170</v>
      </c>
      <c r="BA99" s="147"/>
      <c r="BB99" s="147"/>
      <c r="BC99" s="147"/>
      <c r="BD99" s="147"/>
      <c r="BE99" s="147">
        <f>30000-30000</f>
        <v>0</v>
      </c>
      <c r="BF99" s="147"/>
      <c r="BG99" s="205"/>
      <c r="BH99" s="93" t="s">
        <v>178</v>
      </c>
      <c r="BI99" s="99">
        <f>BE88+BE100</f>
        <v>141156.29999999999</v>
      </c>
      <c r="BJ99" s="99">
        <f>BB60+BB69+BC81</f>
        <v>1766731.4700000002</v>
      </c>
      <c r="BK99" s="99">
        <f>BJ99-BI117</f>
        <v>1766731.4700000002</v>
      </c>
      <c r="BL99" s="141">
        <f>BI99+BJ99</f>
        <v>1907887.7700000003</v>
      </c>
    </row>
    <row r="100" spans="1:64" s="92" customFormat="1" ht="14.25" hidden="1" customHeight="1" x14ac:dyDescent="0.2">
      <c r="A100" s="166"/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8" t="s">
        <v>178</v>
      </c>
      <c r="AY100" s="105">
        <v>2011</v>
      </c>
      <c r="AZ100" s="106" t="s">
        <v>173</v>
      </c>
      <c r="BA100" s="147"/>
      <c r="BB100" s="147"/>
      <c r="BC100" s="147"/>
      <c r="BD100" s="147"/>
      <c r="BE100" s="147">
        <f>60000+68127.84</f>
        <v>128127.84</v>
      </c>
      <c r="BF100" s="147"/>
      <c r="BG100" s="205"/>
      <c r="BH100" s="93" t="s">
        <v>179</v>
      </c>
      <c r="BI100" s="99">
        <f>BE89+BE101</f>
        <v>54244.240000000005</v>
      </c>
      <c r="BJ100" s="99">
        <f>BB61+BB70</f>
        <v>942788.99</v>
      </c>
      <c r="BK100" s="99">
        <f>BJ100-BI118</f>
        <v>942788.99</v>
      </c>
      <c r="BL100" s="141">
        <f t="shared" ref="BL100:BL102" si="8">BI100+BJ100</f>
        <v>997033.23</v>
      </c>
    </row>
    <row r="101" spans="1:64" s="92" customFormat="1" ht="14.25" hidden="1" customHeight="1" x14ac:dyDescent="0.2">
      <c r="A101" s="166"/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8" t="s">
        <v>179</v>
      </c>
      <c r="AY101" s="105">
        <v>2011</v>
      </c>
      <c r="AZ101" s="106" t="s">
        <v>173</v>
      </c>
      <c r="BA101" s="147"/>
      <c r="BB101" s="147"/>
      <c r="BC101" s="147"/>
      <c r="BD101" s="147"/>
      <c r="BE101" s="147">
        <f>34000</f>
        <v>34000</v>
      </c>
      <c r="BF101" s="147"/>
      <c r="BG101" s="205"/>
      <c r="BH101" s="93" t="s">
        <v>180</v>
      </c>
      <c r="BI101" s="99">
        <f>BE90+BE102</f>
        <v>8097.7099999999991</v>
      </c>
      <c r="BJ101" s="99">
        <f>BB62+BB71+BC82</f>
        <v>105227.20000000001</v>
      </c>
      <c r="BK101" s="99">
        <f>BJ101-BI119</f>
        <v>105227.20000000001</v>
      </c>
      <c r="BL101" s="141">
        <f t="shared" si="8"/>
        <v>113324.91</v>
      </c>
    </row>
    <row r="102" spans="1:64" s="92" customFormat="1" ht="14.25" hidden="1" customHeight="1" x14ac:dyDescent="0.2">
      <c r="A102" s="166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8" t="s">
        <v>180</v>
      </c>
      <c r="AY102" s="105">
        <v>2011</v>
      </c>
      <c r="AZ102" s="106" t="s">
        <v>173</v>
      </c>
      <c r="BA102" s="147"/>
      <c r="BB102" s="147"/>
      <c r="BC102" s="147"/>
      <c r="BD102" s="147"/>
      <c r="BE102" s="147">
        <f>6000+97.69</f>
        <v>6097.69</v>
      </c>
      <c r="BF102" s="147"/>
      <c r="BG102" s="205"/>
      <c r="BH102" s="93"/>
      <c r="BI102" s="99">
        <f>SUM(BI99:BI101)</f>
        <v>203498.24999999997</v>
      </c>
      <c r="BJ102" s="99">
        <f>SUM(BJ99:BJ101)</f>
        <v>2814747.66</v>
      </c>
      <c r="BK102" s="99">
        <f>SUM(BK99:BK101)</f>
        <v>2814747.66</v>
      </c>
      <c r="BL102" s="141">
        <f t="shared" si="8"/>
        <v>3018245.91</v>
      </c>
    </row>
    <row r="103" spans="1:64" s="92" customFormat="1" ht="14.25" hidden="1" customHeight="1" x14ac:dyDescent="0.2">
      <c r="A103" s="249"/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0"/>
      <c r="AL103" s="220"/>
      <c r="AM103" s="220"/>
      <c r="AN103" s="220"/>
      <c r="AO103" s="220"/>
      <c r="AP103" s="220"/>
      <c r="AQ103" s="220"/>
      <c r="AR103" s="220"/>
      <c r="AS103" s="220"/>
      <c r="AT103" s="220"/>
      <c r="AU103" s="220"/>
      <c r="AV103" s="220"/>
      <c r="AW103" s="220"/>
      <c r="AX103" s="221"/>
      <c r="AY103" s="105">
        <v>2019</v>
      </c>
      <c r="AZ103" s="106" t="s">
        <v>164</v>
      </c>
      <c r="BA103" s="147"/>
      <c r="BB103" s="147"/>
      <c r="BC103" s="147"/>
      <c r="BD103" s="147"/>
      <c r="BE103" s="147">
        <f>10000+16472.32</f>
        <v>26472.32</v>
      </c>
      <c r="BF103" s="147"/>
      <c r="BG103" s="205"/>
      <c r="BH103" s="93"/>
      <c r="BI103" s="266">
        <f>BI102+BJ102</f>
        <v>3018245.91</v>
      </c>
      <c r="BJ103" s="267"/>
      <c r="BK103" s="141">
        <f>BK89-BI103</f>
        <v>0</v>
      </c>
    </row>
    <row r="104" spans="1:64" s="92" customFormat="1" ht="14.25" hidden="1" customHeight="1" x14ac:dyDescent="0.2">
      <c r="A104" s="249"/>
      <c r="B104" s="220"/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220"/>
      <c r="AR104" s="220"/>
      <c r="AS104" s="220"/>
      <c r="AT104" s="220"/>
      <c r="AU104" s="220"/>
      <c r="AV104" s="220"/>
      <c r="AW104" s="220"/>
      <c r="AX104" s="221"/>
      <c r="AY104" s="105">
        <v>2019</v>
      </c>
      <c r="AZ104" s="106" t="s">
        <v>168</v>
      </c>
      <c r="BA104" s="147"/>
      <c r="BB104" s="147"/>
      <c r="BC104" s="147"/>
      <c r="BD104" s="147"/>
      <c r="BE104" s="147">
        <f>20000+40-7250</f>
        <v>12790</v>
      </c>
      <c r="BF104" s="147"/>
      <c r="BG104" s="205"/>
    </row>
    <row r="105" spans="1:64" s="92" customFormat="1" ht="14.25" hidden="1" customHeight="1" x14ac:dyDescent="0.2">
      <c r="A105" s="249"/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  <c r="AJ105" s="220"/>
      <c r="AK105" s="220"/>
      <c r="AL105" s="220"/>
      <c r="AM105" s="220"/>
      <c r="AN105" s="220"/>
      <c r="AO105" s="220"/>
      <c r="AP105" s="220"/>
      <c r="AQ105" s="220"/>
      <c r="AR105" s="220"/>
      <c r="AS105" s="220"/>
      <c r="AT105" s="220"/>
      <c r="AU105" s="220"/>
      <c r="AV105" s="220"/>
      <c r="AW105" s="220"/>
      <c r="AX105" s="221"/>
      <c r="AY105" s="105">
        <v>2019</v>
      </c>
      <c r="AZ105" s="106" t="s">
        <v>169</v>
      </c>
      <c r="BA105" s="147"/>
      <c r="BB105" s="147"/>
      <c r="BC105" s="147"/>
      <c r="BD105" s="147"/>
      <c r="BE105" s="147">
        <f>99000+1109.7-40822.32</f>
        <v>59287.38</v>
      </c>
      <c r="BF105" s="147"/>
      <c r="BG105" s="205"/>
    </row>
    <row r="106" spans="1:64" s="92" customFormat="1" ht="14.25" hidden="1" customHeight="1" x14ac:dyDescent="0.2">
      <c r="A106" s="166"/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8"/>
      <c r="AY106" s="105">
        <f>2019</f>
        <v>2019</v>
      </c>
      <c r="AZ106" s="106" t="s">
        <v>181</v>
      </c>
      <c r="BA106" s="147"/>
      <c r="BB106" s="147"/>
      <c r="BC106" s="147"/>
      <c r="BD106" s="147"/>
      <c r="BE106" s="147">
        <f>20000-20000</f>
        <v>0</v>
      </c>
      <c r="BF106" s="147"/>
      <c r="BG106" s="205"/>
      <c r="BH106" s="100" t="s">
        <v>220</v>
      </c>
      <c r="BI106" s="100"/>
      <c r="BJ106" s="100"/>
    </row>
    <row r="107" spans="1:64" s="92" customFormat="1" ht="14.25" hidden="1" customHeight="1" x14ac:dyDescent="0.2">
      <c r="A107" s="249"/>
      <c r="B107" s="220"/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220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1"/>
      <c r="AY107" s="105">
        <v>2019</v>
      </c>
      <c r="AZ107" s="106" t="s">
        <v>170</v>
      </c>
      <c r="BA107" s="147"/>
      <c r="BB107" s="147"/>
      <c r="BC107" s="147"/>
      <c r="BD107" s="147"/>
      <c r="BE107" s="147">
        <f>13000+582.12+51600-5680.8</f>
        <v>59501.32</v>
      </c>
      <c r="BF107" s="147"/>
      <c r="BG107" s="205"/>
      <c r="BH107" s="101">
        <v>2001</v>
      </c>
      <c r="BI107" s="102">
        <v>62473.8</v>
      </c>
      <c r="BJ107" s="268">
        <f>BI107+BI108+BI109+BI110+BI111+BI112+BI113</f>
        <v>748946.67</v>
      </c>
    </row>
    <row r="108" spans="1:64" s="92" customFormat="1" ht="14.25" hidden="1" customHeight="1" x14ac:dyDescent="0.2">
      <c r="A108" s="249"/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1"/>
      <c r="AY108" s="105">
        <f>2032</f>
        <v>2032</v>
      </c>
      <c r="AZ108" s="106" t="s">
        <v>170</v>
      </c>
      <c r="BA108" s="147"/>
      <c r="BB108" s="147"/>
      <c r="BC108" s="147"/>
      <c r="BD108" s="147"/>
      <c r="BE108" s="147">
        <v>0</v>
      </c>
      <c r="BF108" s="147"/>
      <c r="BG108" s="205"/>
      <c r="BH108" s="101">
        <v>2010</v>
      </c>
      <c r="BI108" s="102"/>
      <c r="BJ108" s="269"/>
    </row>
    <row r="109" spans="1:64" ht="12.75" x14ac:dyDescent="0.2">
      <c r="A109" s="6"/>
      <c r="B109" s="7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9"/>
      <c r="AY109" s="8"/>
      <c r="AZ109" s="73"/>
      <c r="BA109" s="145"/>
      <c r="BB109" s="146"/>
      <c r="BC109" s="146"/>
      <c r="BD109" s="146"/>
      <c r="BE109" s="146"/>
      <c r="BF109" s="146"/>
      <c r="BH109" s="101">
        <v>2011</v>
      </c>
      <c r="BI109" s="102">
        <v>68225.53</v>
      </c>
      <c r="BJ109" s="269"/>
    </row>
    <row r="110" spans="1:64" ht="12.75" x14ac:dyDescent="0.2">
      <c r="A110" s="154"/>
      <c r="B110" s="172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9"/>
      <c r="AY110" s="8"/>
      <c r="AZ110" s="73"/>
      <c r="BA110" s="145"/>
      <c r="BB110" s="146"/>
      <c r="BC110" s="146"/>
      <c r="BD110" s="146"/>
      <c r="BE110" s="146"/>
      <c r="BF110" s="146"/>
      <c r="BH110" s="101">
        <v>2019</v>
      </c>
      <c r="BI110" s="102">
        <v>1731.82</v>
      </c>
      <c r="BJ110" s="269"/>
    </row>
    <row r="111" spans="1:64" ht="12.75" x14ac:dyDescent="0.2">
      <c r="A111" s="5"/>
      <c r="B111" s="218" t="s">
        <v>46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9"/>
      <c r="AY111" s="8">
        <v>300</v>
      </c>
      <c r="AZ111" s="73" t="s">
        <v>28</v>
      </c>
      <c r="BA111" s="145">
        <f t="shared" ref="BA111:BA116" si="9">BB111+BC111+BD111+BF111</f>
        <v>0</v>
      </c>
      <c r="BB111" s="146"/>
      <c r="BC111" s="146"/>
      <c r="BD111" s="146"/>
      <c r="BE111" s="146"/>
      <c r="BF111" s="146"/>
      <c r="BH111" s="101">
        <f>2026</f>
        <v>2026</v>
      </c>
      <c r="BI111" s="102">
        <v>411</v>
      </c>
      <c r="BJ111" s="270"/>
    </row>
    <row r="112" spans="1:64" ht="12.75" x14ac:dyDescent="0.2">
      <c r="A112" s="6"/>
      <c r="B112" s="7"/>
      <c r="C112" s="218" t="s">
        <v>47</v>
      </c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9"/>
      <c r="AY112" s="8">
        <v>310</v>
      </c>
      <c r="AZ112" s="73"/>
      <c r="BA112" s="145">
        <f t="shared" si="9"/>
        <v>0</v>
      </c>
      <c r="BB112" s="146"/>
      <c r="BC112" s="146"/>
      <c r="BD112" s="146"/>
      <c r="BE112" s="146"/>
      <c r="BF112" s="146"/>
      <c r="BH112" s="101">
        <v>2021</v>
      </c>
      <c r="BI112" s="102"/>
      <c r="BJ112" s="108"/>
    </row>
    <row r="113" spans="1:62" ht="12.75" customHeight="1" x14ac:dyDescent="0.2">
      <c r="A113" s="154"/>
      <c r="B113" s="172"/>
      <c r="C113" s="218" t="s">
        <v>48</v>
      </c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218"/>
      <c r="AJ113" s="218"/>
      <c r="AK113" s="218"/>
      <c r="AL113" s="218"/>
      <c r="AM113" s="218"/>
      <c r="AN113" s="218"/>
      <c r="AO113" s="218"/>
      <c r="AP113" s="218"/>
      <c r="AQ113" s="218"/>
      <c r="AR113" s="218"/>
      <c r="AS113" s="218"/>
      <c r="AT113" s="218"/>
      <c r="AU113" s="218"/>
      <c r="AV113" s="218"/>
      <c r="AW113" s="218"/>
      <c r="AX113" s="219"/>
      <c r="AY113" s="8">
        <v>320</v>
      </c>
      <c r="AZ113" s="73"/>
      <c r="BA113" s="145">
        <f t="shared" si="9"/>
        <v>0</v>
      </c>
      <c r="BB113" s="146"/>
      <c r="BC113" s="146"/>
      <c r="BD113" s="146"/>
      <c r="BE113" s="146"/>
      <c r="BF113" s="146"/>
      <c r="BH113" s="101">
        <v>4000</v>
      </c>
      <c r="BI113" s="102">
        <f>616104.52</f>
        <v>616104.52</v>
      </c>
      <c r="BJ113" s="108"/>
    </row>
    <row r="114" spans="1:62" ht="12.75" customHeight="1" x14ac:dyDescent="0.2">
      <c r="A114" s="154"/>
      <c r="B114" s="172"/>
      <c r="C114" s="218" t="s">
        <v>49</v>
      </c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18"/>
      <c r="AJ114" s="218"/>
      <c r="AK114" s="218"/>
      <c r="AL114" s="218"/>
      <c r="AM114" s="218"/>
      <c r="AN114" s="218"/>
      <c r="AO114" s="218"/>
      <c r="AP114" s="218"/>
      <c r="AQ114" s="218"/>
      <c r="AR114" s="218"/>
      <c r="AS114" s="218"/>
      <c r="AT114" s="218"/>
      <c r="AU114" s="218"/>
      <c r="AV114" s="218"/>
      <c r="AW114" s="218"/>
      <c r="AX114" s="219"/>
      <c r="AY114" s="8">
        <v>400</v>
      </c>
      <c r="AZ114" s="73"/>
      <c r="BA114" s="145">
        <f t="shared" si="9"/>
        <v>0</v>
      </c>
      <c r="BB114" s="146"/>
      <c r="BC114" s="146"/>
      <c r="BD114" s="146"/>
      <c r="BE114" s="146"/>
      <c r="BF114" s="146"/>
      <c r="BH114" s="130"/>
      <c r="BI114" s="130"/>
      <c r="BJ114" s="130"/>
    </row>
    <row r="115" spans="1:62" ht="12.75" customHeight="1" x14ac:dyDescent="0.2">
      <c r="A115" s="154"/>
      <c r="B115" s="172"/>
      <c r="C115" s="218" t="s">
        <v>50</v>
      </c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18"/>
      <c r="AH115" s="218"/>
      <c r="AI115" s="218"/>
      <c r="AJ115" s="218"/>
      <c r="AK115" s="218"/>
      <c r="AL115" s="218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9"/>
      <c r="AY115" s="8">
        <v>410</v>
      </c>
      <c r="AZ115" s="73"/>
      <c r="BA115" s="145">
        <f t="shared" si="9"/>
        <v>0</v>
      </c>
      <c r="BB115" s="146"/>
      <c r="BC115" s="146"/>
      <c r="BD115" s="146"/>
      <c r="BE115" s="146"/>
      <c r="BF115" s="146"/>
      <c r="BH115" s="130"/>
      <c r="BI115" s="130"/>
      <c r="BJ115" s="130"/>
    </row>
    <row r="116" spans="1:62" ht="12.75" x14ac:dyDescent="0.2">
      <c r="A116" s="154"/>
      <c r="B116" s="172"/>
      <c r="C116" s="218" t="s">
        <v>51</v>
      </c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8"/>
      <c r="AJ116" s="218"/>
      <c r="AK116" s="218"/>
      <c r="AL116" s="218"/>
      <c r="AM116" s="218"/>
      <c r="AN116" s="218"/>
      <c r="AO116" s="218"/>
      <c r="AP116" s="218"/>
      <c r="AQ116" s="218"/>
      <c r="AR116" s="218"/>
      <c r="AS116" s="218"/>
      <c r="AT116" s="218"/>
      <c r="AU116" s="218"/>
      <c r="AV116" s="218"/>
      <c r="AW116" s="218"/>
      <c r="AX116" s="219"/>
      <c r="AY116" s="8">
        <v>420</v>
      </c>
      <c r="AZ116" s="73"/>
      <c r="BA116" s="145">
        <f t="shared" si="9"/>
        <v>0</v>
      </c>
      <c r="BB116" s="146"/>
      <c r="BC116" s="146"/>
      <c r="BD116" s="146"/>
      <c r="BE116" s="146"/>
      <c r="BF116" s="146"/>
      <c r="BH116" s="127"/>
      <c r="BI116" s="128"/>
      <c r="BJ116" s="130"/>
    </row>
    <row r="117" spans="1:62" ht="12.75" x14ac:dyDescent="0.2">
      <c r="A117" s="154"/>
      <c r="B117" s="271" t="s">
        <v>22</v>
      </c>
      <c r="C117" s="208" t="s">
        <v>11</v>
      </c>
      <c r="D117" s="208"/>
      <c r="E117" s="208"/>
      <c r="F117" s="208"/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208"/>
      <c r="AR117" s="208"/>
      <c r="AS117" s="208"/>
      <c r="AT117" s="208"/>
      <c r="AU117" s="208"/>
      <c r="AV117" s="208"/>
      <c r="AW117" s="208"/>
      <c r="AX117" s="209"/>
      <c r="AY117" s="12" t="s">
        <v>23</v>
      </c>
      <c r="AZ117" s="73" t="s">
        <v>28</v>
      </c>
      <c r="BA117" s="145">
        <f>BB117+BC117+BD117+BE117</f>
        <v>748946.67</v>
      </c>
      <c r="BB117" s="149">
        <f>488717.38+127387.14</f>
        <v>616104.52</v>
      </c>
      <c r="BC117" s="149">
        <v>0</v>
      </c>
      <c r="BD117" s="149">
        <v>0</v>
      </c>
      <c r="BE117" s="149">
        <f>132842.15</f>
        <v>132842.15</v>
      </c>
      <c r="BF117" s="149">
        <v>0</v>
      </c>
      <c r="BH117" s="127"/>
      <c r="BI117" s="129"/>
      <c r="BJ117" s="130"/>
    </row>
    <row r="118" spans="1:62" ht="12.75" customHeight="1" x14ac:dyDescent="0.2">
      <c r="A118" s="154"/>
      <c r="B118" s="262" t="s">
        <v>24</v>
      </c>
      <c r="C118" s="263" t="s">
        <v>11</v>
      </c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  <c r="U118" s="263"/>
      <c r="V118" s="263"/>
      <c r="W118" s="263"/>
      <c r="X118" s="263"/>
      <c r="Y118" s="263"/>
      <c r="Z118" s="263"/>
      <c r="AA118" s="263"/>
      <c r="AB118" s="263"/>
      <c r="AC118" s="263"/>
      <c r="AD118" s="263"/>
      <c r="AE118" s="263"/>
      <c r="AF118" s="263"/>
      <c r="AG118" s="263"/>
      <c r="AH118" s="263"/>
      <c r="AI118" s="263"/>
      <c r="AJ118" s="263"/>
      <c r="AK118" s="263"/>
      <c r="AL118" s="263"/>
      <c r="AM118" s="263"/>
      <c r="AN118" s="263"/>
      <c r="AO118" s="263"/>
      <c r="AP118" s="263"/>
      <c r="AQ118" s="263"/>
      <c r="AR118" s="263"/>
      <c r="AS118" s="263"/>
      <c r="AT118" s="263"/>
      <c r="AU118" s="263"/>
      <c r="AV118" s="263"/>
      <c r="AW118" s="263"/>
      <c r="AX118" s="263"/>
      <c r="AY118" s="170" t="s">
        <v>25</v>
      </c>
      <c r="AZ118" s="73" t="s">
        <v>28</v>
      </c>
      <c r="BA118" s="145">
        <f>BB118+BC118+BD118+BF118</f>
        <v>0</v>
      </c>
      <c r="BB118" s="146"/>
      <c r="BC118" s="146"/>
      <c r="BD118" s="146"/>
      <c r="BE118" s="146"/>
      <c r="BF118" s="146"/>
      <c r="BH118" s="127"/>
      <c r="BI118" s="129"/>
    </row>
    <row r="119" spans="1:62" ht="10.15" customHeight="1" x14ac:dyDescent="0.2">
      <c r="A119" s="112"/>
      <c r="B119" s="119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6"/>
      <c r="AZ119" s="117"/>
      <c r="BA119" s="118"/>
      <c r="BB119" s="114"/>
      <c r="BC119" s="114"/>
      <c r="BD119" s="114"/>
      <c r="BE119" s="114"/>
      <c r="BF119" s="114"/>
      <c r="BH119" s="127"/>
      <c r="BI119" s="129"/>
    </row>
    <row r="120" spans="1:62" ht="10.15" customHeight="1" x14ac:dyDescent="0.2">
      <c r="A120" s="112"/>
      <c r="B120" s="113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6"/>
      <c r="AZ120" s="117"/>
      <c r="BA120" s="118"/>
      <c r="BB120" s="114"/>
      <c r="BC120" s="114"/>
      <c r="BD120" s="114"/>
      <c r="BE120" s="114"/>
      <c r="BF120" s="114"/>
      <c r="BH120" s="127"/>
      <c r="BI120" s="129"/>
    </row>
    <row r="121" spans="1:62" ht="12.75" x14ac:dyDescent="0.2">
      <c r="A121" s="264" t="s">
        <v>57</v>
      </c>
      <c r="B121" s="264"/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65"/>
      <c r="U121" s="265"/>
      <c r="V121" s="265"/>
      <c r="W121" s="265"/>
      <c r="X121" s="265"/>
      <c r="Y121" s="265"/>
      <c r="Z121" s="265"/>
      <c r="AA121" s="265"/>
      <c r="AB121" s="265"/>
      <c r="AC121" s="265"/>
      <c r="AD121" s="265"/>
      <c r="AE121" s="265"/>
      <c r="AF121" s="265"/>
      <c r="AG121" s="265"/>
      <c r="AH121" s="265"/>
      <c r="AI121" s="265"/>
      <c r="AJ121" s="265"/>
      <c r="AK121" s="265"/>
      <c r="AL121" s="265"/>
      <c r="AM121" s="265"/>
      <c r="AN121" s="265"/>
      <c r="AO121" s="265"/>
      <c r="AP121" s="265"/>
      <c r="AQ121" s="265"/>
      <c r="AR121" s="265"/>
      <c r="AS121" s="265"/>
      <c r="AT121" s="265"/>
      <c r="AU121" s="265"/>
      <c r="AV121" s="265"/>
      <c r="AW121" s="265"/>
      <c r="AX121" s="265"/>
      <c r="BA121" s="109">
        <f t="shared" ref="BA121:BF121" si="10">BA30-BA9-BA117</f>
        <v>1.7462298274040222E-9</v>
      </c>
      <c r="BB121" s="109">
        <f t="shared" si="10"/>
        <v>0</v>
      </c>
      <c r="BC121" s="109">
        <f t="shared" si="10"/>
        <v>2.3283064365386963E-10</v>
      </c>
      <c r="BD121" s="109">
        <f t="shared" si="10"/>
        <v>0</v>
      </c>
      <c r="BE121" s="109">
        <f t="shared" si="10"/>
        <v>0</v>
      </c>
      <c r="BF121" s="109">
        <f t="shared" si="10"/>
        <v>0</v>
      </c>
      <c r="BG121" s="9"/>
    </row>
    <row r="122" spans="1:62" ht="10.15" customHeight="1" x14ac:dyDescent="0.2">
      <c r="BG122" s="9"/>
    </row>
    <row r="123" spans="1:62" ht="10.15" customHeight="1" x14ac:dyDescent="0.2">
      <c r="BG123" s="9"/>
    </row>
    <row r="124" spans="1:62" ht="10.15" customHeight="1" x14ac:dyDescent="0.2">
      <c r="BB124" s="111"/>
      <c r="BG124" s="9"/>
    </row>
    <row r="125" spans="1:62" ht="10.15" customHeight="1" x14ac:dyDescent="0.2">
      <c r="BG125" s="9"/>
    </row>
    <row r="126" spans="1:62" ht="10.15" customHeight="1" x14ac:dyDescent="0.2">
      <c r="BG126" s="9"/>
    </row>
    <row r="129" spans="59:59" ht="10.15" customHeight="1" x14ac:dyDescent="0.2">
      <c r="BG129" s="9"/>
    </row>
    <row r="130" spans="59:59" ht="10.15" customHeight="1" x14ac:dyDescent="0.2">
      <c r="BG130" s="9"/>
    </row>
    <row r="132" spans="59:59" ht="10.15" customHeight="1" x14ac:dyDescent="0.2">
      <c r="BG132" s="9"/>
    </row>
  </sheetData>
  <mergeCells count="106">
    <mergeCell ref="B118:AX118"/>
    <mergeCell ref="A121:AX121"/>
    <mergeCell ref="B49:AX49"/>
    <mergeCell ref="C50:AX50"/>
    <mergeCell ref="A53:AX53"/>
    <mergeCell ref="BG54:BK54"/>
    <mergeCell ref="C57:AX57"/>
    <mergeCell ref="B58:AX58"/>
    <mergeCell ref="AY59:AY67"/>
    <mergeCell ref="BG59:BG108"/>
    <mergeCell ref="A65:AX65"/>
    <mergeCell ref="A66:AX67"/>
    <mergeCell ref="AY68:AY77"/>
    <mergeCell ref="A71:AX71"/>
    <mergeCell ref="A84:AX84"/>
    <mergeCell ref="A85:AX85"/>
    <mergeCell ref="A86:AX86"/>
    <mergeCell ref="A103:AX103"/>
    <mergeCell ref="BI103:BJ103"/>
    <mergeCell ref="A107:AX107"/>
    <mergeCell ref="BJ107:BJ111"/>
    <mergeCell ref="A108:AX108"/>
    <mergeCell ref="B111:AX111"/>
    <mergeCell ref="B25:AX25"/>
    <mergeCell ref="A27:AX27"/>
    <mergeCell ref="B32:AX32"/>
    <mergeCell ref="C36:AX36"/>
    <mergeCell ref="B38:AX38"/>
    <mergeCell ref="C42:AX42"/>
    <mergeCell ref="B43:AX43"/>
    <mergeCell ref="C47:AX47"/>
    <mergeCell ref="A48:AX48"/>
    <mergeCell ref="A62:AX62"/>
    <mergeCell ref="A64:AX64"/>
    <mergeCell ref="A81:AX81"/>
    <mergeCell ref="A82:AX82"/>
    <mergeCell ref="A83:AX83"/>
    <mergeCell ref="A105:AX105"/>
    <mergeCell ref="C110:AX110"/>
    <mergeCell ref="C109:AX109"/>
    <mergeCell ref="C113:AX113"/>
    <mergeCell ref="C112:AX112"/>
    <mergeCell ref="C114:AX114"/>
    <mergeCell ref="C115:AX115"/>
    <mergeCell ref="C116:AX116"/>
    <mergeCell ref="B117:AX117"/>
    <mergeCell ref="C54:AX54"/>
    <mergeCell ref="C55:AX55"/>
    <mergeCell ref="C56:AX56"/>
    <mergeCell ref="A59:AX59"/>
    <mergeCell ref="A68:AX68"/>
    <mergeCell ref="A78:AX78"/>
    <mergeCell ref="A60:AX60"/>
    <mergeCell ref="A104:AX104"/>
    <mergeCell ref="A63:AX63"/>
    <mergeCell ref="A69:AX69"/>
    <mergeCell ref="A79:AX79"/>
    <mergeCell ref="A61:AX61"/>
    <mergeCell ref="A70:AX70"/>
    <mergeCell ref="A80:AX80"/>
    <mergeCell ref="B9:AX9"/>
    <mergeCell ref="B10:AX10"/>
    <mergeCell ref="B11:AX11"/>
    <mergeCell ref="B12:AX12"/>
    <mergeCell ref="B20:AX20"/>
    <mergeCell ref="A23:AX23"/>
    <mergeCell ref="B29:AX29"/>
    <mergeCell ref="C34:AX34"/>
    <mergeCell ref="C40:AX40"/>
    <mergeCell ref="B31:AX31"/>
    <mergeCell ref="B30:AX30"/>
    <mergeCell ref="B18:AX18"/>
    <mergeCell ref="B19:AX19"/>
    <mergeCell ref="A21:AX21"/>
    <mergeCell ref="A22:AX22"/>
    <mergeCell ref="A26:AX26"/>
    <mergeCell ref="B28:AX28"/>
    <mergeCell ref="A13:AX13"/>
    <mergeCell ref="A14:AX14"/>
    <mergeCell ref="A15:AX15"/>
    <mergeCell ref="A16:AX16"/>
    <mergeCell ref="A2:BF2"/>
    <mergeCell ref="A8:AX8"/>
    <mergeCell ref="BC6:BC7"/>
    <mergeCell ref="BA5:BA7"/>
    <mergeCell ref="A4:AX7"/>
    <mergeCell ref="AY4:AY7"/>
    <mergeCell ref="AZ4:AZ7"/>
    <mergeCell ref="BA4:BF4"/>
    <mergeCell ref="BE6:BF6"/>
    <mergeCell ref="BB5:BF5"/>
    <mergeCell ref="BD6:BD7"/>
    <mergeCell ref="BB6:BB7"/>
    <mergeCell ref="BG13:BG16"/>
    <mergeCell ref="C45:AX45"/>
    <mergeCell ref="A52:AX52"/>
    <mergeCell ref="A17:AX17"/>
    <mergeCell ref="C33:AX33"/>
    <mergeCell ref="B37:AX37"/>
    <mergeCell ref="C39:AX39"/>
    <mergeCell ref="C44:AX44"/>
    <mergeCell ref="C35:AX35"/>
    <mergeCell ref="C41:AX41"/>
    <mergeCell ref="C46:AX46"/>
    <mergeCell ref="A51:AX51"/>
    <mergeCell ref="A24:AX24"/>
  </mergeCells>
  <pageMargins left="0.11811023622047245" right="0.11811023622047245" top="0" bottom="0" header="0.31496062992125984" footer="0.31496062992125984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49"/>
  <sheetViews>
    <sheetView view="pageBreakPreview" zoomScaleNormal="71" zoomScaleSheetLayoutView="100" workbookViewId="0">
      <pane ySplit="8" topLeftCell="A36" activePane="bottomLeft" state="frozen"/>
      <selection pane="bottomLeft" activeCell="BI43" sqref="BI43"/>
    </sheetView>
  </sheetViews>
  <sheetFormatPr defaultRowHeight="10.15" customHeight="1" x14ac:dyDescent="0.2"/>
  <cols>
    <col min="1" max="49" width="0.28515625" style="31" customWidth="1"/>
    <col min="50" max="50" width="10.5703125" style="31" customWidth="1"/>
    <col min="51" max="51" width="6.7109375" style="31" customWidth="1"/>
    <col min="52" max="52" width="8.7109375" style="31" customWidth="1"/>
    <col min="53" max="53" width="13.28515625" style="31" customWidth="1"/>
    <col min="54" max="54" width="13.42578125" style="31" customWidth="1"/>
    <col min="55" max="55" width="15.140625" style="31" customWidth="1"/>
    <col min="56" max="56" width="12.140625" style="31" customWidth="1"/>
    <col min="57" max="57" width="13.140625" style="31" customWidth="1"/>
    <col min="58" max="58" width="9.7109375" style="31" customWidth="1"/>
    <col min="59" max="59" width="12.7109375" style="31" bestFit="1" customWidth="1"/>
    <col min="60" max="16384" width="9.140625" style="31"/>
  </cols>
  <sheetData>
    <row r="1" spans="1:59" ht="12.75" x14ac:dyDescent="0.2"/>
    <row r="2" spans="1:59" ht="21" customHeight="1" x14ac:dyDescent="0.2">
      <c r="A2" s="227" t="s">
        <v>187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</row>
    <row r="3" spans="1:59" ht="12.75" x14ac:dyDescent="0.2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"/>
      <c r="BD3" s="1"/>
      <c r="BE3" s="1"/>
      <c r="BF3" s="1"/>
    </row>
    <row r="4" spans="1:59" ht="12.75" customHeight="1" x14ac:dyDescent="0.2">
      <c r="A4" s="234" t="s">
        <v>0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6"/>
      <c r="AY4" s="243" t="s">
        <v>1</v>
      </c>
      <c r="AZ4" s="243" t="s">
        <v>2</v>
      </c>
      <c r="BA4" s="228" t="s">
        <v>3</v>
      </c>
      <c r="BB4" s="229"/>
      <c r="BC4" s="229"/>
      <c r="BD4" s="229"/>
      <c r="BE4" s="229"/>
      <c r="BF4" s="229"/>
    </row>
    <row r="5" spans="1:59" ht="12.75" customHeight="1" x14ac:dyDescent="0.2">
      <c r="A5" s="237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9"/>
      <c r="AY5" s="244"/>
      <c r="AZ5" s="244"/>
      <c r="BA5" s="244" t="s">
        <v>26</v>
      </c>
      <c r="BB5" s="245" t="s">
        <v>4</v>
      </c>
      <c r="BC5" s="245"/>
      <c r="BD5" s="245"/>
      <c r="BE5" s="245"/>
      <c r="BF5" s="245"/>
    </row>
    <row r="6" spans="1:59" ht="61.5" customHeight="1" x14ac:dyDescent="0.2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9"/>
      <c r="AY6" s="244"/>
      <c r="AZ6" s="244"/>
      <c r="BA6" s="244"/>
      <c r="BB6" s="231" t="s">
        <v>5</v>
      </c>
      <c r="BC6" s="231" t="s">
        <v>6</v>
      </c>
      <c r="BD6" s="231" t="s">
        <v>7</v>
      </c>
      <c r="BE6" s="231" t="s">
        <v>8</v>
      </c>
      <c r="BF6" s="231"/>
    </row>
    <row r="7" spans="1:59" ht="31.5" customHeight="1" x14ac:dyDescent="0.2">
      <c r="A7" s="240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2"/>
      <c r="AY7" s="245"/>
      <c r="AZ7" s="245"/>
      <c r="BA7" s="245"/>
      <c r="BB7" s="231"/>
      <c r="BC7" s="231"/>
      <c r="BD7" s="231"/>
      <c r="BE7" s="159" t="s">
        <v>9</v>
      </c>
      <c r="BF7" s="159" t="s">
        <v>10</v>
      </c>
    </row>
    <row r="8" spans="1:59" ht="11.1" customHeight="1" x14ac:dyDescent="0.2">
      <c r="A8" s="228">
        <v>1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30"/>
      <c r="AY8" s="2">
        <v>2</v>
      </c>
      <c r="AZ8" s="160">
        <v>3</v>
      </c>
      <c r="BA8" s="160">
        <v>4</v>
      </c>
      <c r="BB8" s="160">
        <v>5</v>
      </c>
      <c r="BC8" s="160">
        <v>6</v>
      </c>
      <c r="BD8" s="160">
        <v>7</v>
      </c>
      <c r="BE8" s="159">
        <v>8</v>
      </c>
      <c r="BF8" s="159">
        <v>9</v>
      </c>
    </row>
    <row r="9" spans="1:59" ht="23.25" customHeight="1" x14ac:dyDescent="0.2">
      <c r="A9" s="3"/>
      <c r="B9" s="247" t="s">
        <v>27</v>
      </c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8"/>
      <c r="AY9" s="11">
        <v>100</v>
      </c>
      <c r="AZ9" s="73" t="s">
        <v>28</v>
      </c>
      <c r="BA9" s="164">
        <f>BA10+BA12+BA14+BA15+BA16+BA17+BA18+BA13</f>
        <v>17107042</v>
      </c>
      <c r="BB9" s="164">
        <f>BB12</f>
        <v>16030180</v>
      </c>
      <c r="BC9" s="164">
        <f>BC16</f>
        <v>54862</v>
      </c>
      <c r="BD9" s="164">
        <f>BD16</f>
        <v>0</v>
      </c>
      <c r="BE9" s="164">
        <f>BE10+BE12+BE14+BE15+BE17+BE18+BE13</f>
        <v>1022000</v>
      </c>
      <c r="BF9" s="164">
        <f>BF12+BF17</f>
        <v>0</v>
      </c>
      <c r="BG9" s="83">
        <f>BA9+BA48-BA20</f>
        <v>0</v>
      </c>
    </row>
    <row r="10" spans="1:59" ht="21.75" customHeight="1" x14ac:dyDescent="0.2">
      <c r="A10" s="5"/>
      <c r="B10" s="218" t="s">
        <v>52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9"/>
      <c r="AY10" s="8">
        <v>110</v>
      </c>
      <c r="AZ10" s="4" t="s">
        <v>237</v>
      </c>
      <c r="BA10" s="81">
        <f>BE10</f>
        <v>162000</v>
      </c>
      <c r="BB10" s="81" t="s">
        <v>28</v>
      </c>
      <c r="BC10" s="81" t="s">
        <v>28</v>
      </c>
      <c r="BD10" s="81" t="s">
        <v>28</v>
      </c>
      <c r="BE10" s="81">
        <f>162000</f>
        <v>162000</v>
      </c>
      <c r="BF10" s="81" t="s">
        <v>28</v>
      </c>
      <c r="BG10" s="9" t="s">
        <v>29</v>
      </c>
    </row>
    <row r="11" spans="1:59" ht="13.5" customHeight="1" x14ac:dyDescent="0.2">
      <c r="A11" s="5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9"/>
      <c r="AY11" s="8"/>
      <c r="AZ11" s="4"/>
      <c r="BA11" s="81"/>
      <c r="BB11" s="81"/>
      <c r="BC11" s="81"/>
      <c r="BD11" s="81"/>
      <c r="BE11" s="81"/>
      <c r="BF11" s="81"/>
    </row>
    <row r="12" spans="1:59" ht="12.75" x14ac:dyDescent="0.2">
      <c r="A12" s="5"/>
      <c r="B12" s="218" t="s">
        <v>32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9"/>
      <c r="AY12" s="8">
        <v>120</v>
      </c>
      <c r="AZ12" s="4" t="s">
        <v>238</v>
      </c>
      <c r="BA12" s="81">
        <f>BB12+BE12+BF12</f>
        <v>16730180</v>
      </c>
      <c r="BB12" s="81">
        <f>16030180</f>
        <v>16030180</v>
      </c>
      <c r="BC12" s="81" t="s">
        <v>28</v>
      </c>
      <c r="BD12" s="81" t="s">
        <v>28</v>
      </c>
      <c r="BE12" s="81">
        <f>700000</f>
        <v>700000</v>
      </c>
      <c r="BF12" s="81">
        <v>0</v>
      </c>
      <c r="BG12" s="9" t="s">
        <v>243</v>
      </c>
    </row>
    <row r="13" spans="1:59" ht="27" customHeight="1" x14ac:dyDescent="0.2">
      <c r="A13" s="5"/>
      <c r="B13" s="218" t="s">
        <v>242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9"/>
      <c r="AY13" s="8">
        <v>130</v>
      </c>
      <c r="AZ13" s="4" t="s">
        <v>244</v>
      </c>
      <c r="BA13" s="81">
        <f>BB13+BE13+BF13</f>
        <v>100000</v>
      </c>
      <c r="BB13" s="81"/>
      <c r="BC13" s="81" t="s">
        <v>28</v>
      </c>
      <c r="BD13" s="81" t="s">
        <v>28</v>
      </c>
      <c r="BE13" s="81">
        <f>100000</f>
        <v>100000</v>
      </c>
      <c r="BF13" s="81">
        <v>0</v>
      </c>
      <c r="BG13" s="165">
        <v>2011</v>
      </c>
    </row>
    <row r="14" spans="1:59" ht="24" customHeight="1" x14ac:dyDescent="0.2">
      <c r="A14" s="5"/>
      <c r="B14" s="218" t="s">
        <v>31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9"/>
      <c r="AY14" s="8">
        <v>140</v>
      </c>
      <c r="AZ14" s="4" t="s">
        <v>239</v>
      </c>
      <c r="BA14" s="81">
        <f>BE14</f>
        <v>60000</v>
      </c>
      <c r="BB14" s="81" t="s">
        <v>28</v>
      </c>
      <c r="BC14" s="81" t="s">
        <v>28</v>
      </c>
      <c r="BD14" s="81" t="s">
        <v>28</v>
      </c>
      <c r="BE14" s="81">
        <f>60000</f>
        <v>60000</v>
      </c>
      <c r="BF14" s="81" t="s">
        <v>28</v>
      </c>
      <c r="BG14" s="9" t="s">
        <v>199</v>
      </c>
    </row>
    <row r="15" spans="1:59" ht="56.25" customHeight="1" x14ac:dyDescent="0.2">
      <c r="A15" s="5"/>
      <c r="B15" s="218" t="s">
        <v>30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9"/>
      <c r="AY15" s="8">
        <v>150</v>
      </c>
      <c r="AZ15" s="4" t="s">
        <v>37</v>
      </c>
      <c r="BA15" s="81">
        <f>BE15</f>
        <v>0</v>
      </c>
      <c r="BB15" s="81" t="s">
        <v>28</v>
      </c>
      <c r="BC15" s="81" t="s">
        <v>28</v>
      </c>
      <c r="BD15" s="81" t="s">
        <v>28</v>
      </c>
      <c r="BE15" s="81">
        <v>0</v>
      </c>
      <c r="BF15" s="81" t="s">
        <v>28</v>
      </c>
    </row>
    <row r="16" spans="1:59" ht="26.25" customHeight="1" x14ac:dyDescent="0.2">
      <c r="A16" s="5"/>
      <c r="B16" s="218" t="s">
        <v>33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9"/>
      <c r="AY16" s="8">
        <v>160</v>
      </c>
      <c r="AZ16" s="4" t="s">
        <v>240</v>
      </c>
      <c r="BA16" s="81">
        <f>BC16+BD16</f>
        <v>54862</v>
      </c>
      <c r="BB16" s="81" t="s">
        <v>28</v>
      </c>
      <c r="BC16" s="81">
        <f>54862</f>
        <v>54862</v>
      </c>
      <c r="BD16" s="81">
        <v>0</v>
      </c>
      <c r="BE16" s="81" t="s">
        <v>28</v>
      </c>
      <c r="BF16" s="81" t="s">
        <v>28</v>
      </c>
      <c r="BG16" s="9" t="s">
        <v>38</v>
      </c>
    </row>
    <row r="17" spans="1:59" ht="13.5" customHeight="1" x14ac:dyDescent="0.2">
      <c r="A17" s="5"/>
      <c r="B17" s="218" t="s">
        <v>34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9"/>
      <c r="AY17" s="8">
        <v>17</v>
      </c>
      <c r="AZ17" s="4" t="s">
        <v>241</v>
      </c>
      <c r="BA17" s="81">
        <f>BE17</f>
        <v>0</v>
      </c>
      <c r="BB17" s="81" t="s">
        <v>28</v>
      </c>
      <c r="BC17" s="81" t="s">
        <v>28</v>
      </c>
      <c r="BD17" s="81" t="s">
        <v>28</v>
      </c>
      <c r="BE17" s="81">
        <v>0</v>
      </c>
      <c r="BF17" s="81">
        <v>0</v>
      </c>
      <c r="BG17" s="9" t="s">
        <v>200</v>
      </c>
    </row>
    <row r="18" spans="1:59" ht="18" customHeight="1" x14ac:dyDescent="0.2">
      <c r="A18" s="5"/>
      <c r="B18" s="218" t="s">
        <v>35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8">
        <v>180</v>
      </c>
      <c r="AZ18" s="4" t="s">
        <v>53</v>
      </c>
      <c r="BA18" s="81">
        <f>BE18</f>
        <v>0</v>
      </c>
      <c r="BB18" s="81" t="s">
        <v>28</v>
      </c>
      <c r="BC18" s="81" t="s">
        <v>28</v>
      </c>
      <c r="BD18" s="81" t="s">
        <v>28</v>
      </c>
      <c r="BE18" s="81">
        <v>0</v>
      </c>
      <c r="BF18" s="81">
        <v>0</v>
      </c>
    </row>
    <row r="19" spans="1:59" ht="12" customHeight="1" x14ac:dyDescent="0.2">
      <c r="A19" s="10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9"/>
      <c r="AY19" s="8"/>
      <c r="AZ19" s="4"/>
      <c r="BA19" s="81"/>
      <c r="BB19" s="81"/>
      <c r="BC19" s="81"/>
      <c r="BD19" s="81"/>
      <c r="BE19" s="81"/>
      <c r="BF19" s="81"/>
    </row>
    <row r="20" spans="1:59" ht="25.5" customHeight="1" x14ac:dyDescent="0.2">
      <c r="A20" s="3"/>
      <c r="B20" s="247" t="s">
        <v>39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8"/>
      <c r="AY20" s="11">
        <v>200</v>
      </c>
      <c r="AZ20" s="73" t="s">
        <v>28</v>
      </c>
      <c r="BA20" s="164">
        <f>BA21+BA27+BA30+BA35+BA37+BA38</f>
        <v>17107042</v>
      </c>
      <c r="BB20" s="164">
        <f>BB21+BB27+BB30+BB35+BB37+BB38</f>
        <v>16030180</v>
      </c>
      <c r="BC20" s="164">
        <f t="shared" ref="BC20:BE20" si="0">BC21+BC27+BC30+BC35+BC37+BC38</f>
        <v>54862</v>
      </c>
      <c r="BD20" s="164">
        <f t="shared" si="0"/>
        <v>0</v>
      </c>
      <c r="BE20" s="164">
        <f t="shared" si="0"/>
        <v>1022000</v>
      </c>
      <c r="BF20" s="164">
        <f>BF21+BF27+BF30+BF35+BF37+BF38</f>
        <v>0</v>
      </c>
      <c r="BG20" s="83"/>
    </row>
    <row r="21" spans="1:59" ht="36" customHeight="1" x14ac:dyDescent="0.2">
      <c r="A21" s="5"/>
      <c r="B21" s="208" t="s">
        <v>40</v>
      </c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9"/>
      <c r="AY21" s="12">
        <v>210</v>
      </c>
      <c r="AZ21" s="13"/>
      <c r="BA21" s="84">
        <f>BA22+BA25+BA26</f>
        <v>13098965</v>
      </c>
      <c r="BB21" s="84">
        <f t="shared" ref="BB21:BF21" si="1">BB22+BB25+BB26</f>
        <v>12653483</v>
      </c>
      <c r="BC21" s="84">
        <f t="shared" si="1"/>
        <v>17482</v>
      </c>
      <c r="BD21" s="84">
        <f t="shared" si="1"/>
        <v>0</v>
      </c>
      <c r="BE21" s="84">
        <f t="shared" si="1"/>
        <v>428000</v>
      </c>
      <c r="BF21" s="84">
        <f t="shared" si="1"/>
        <v>0</v>
      </c>
    </row>
    <row r="22" spans="1:59" ht="35.25" customHeight="1" x14ac:dyDescent="0.2">
      <c r="A22" s="5"/>
      <c r="B22" s="208" t="s">
        <v>41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9"/>
      <c r="AY22" s="12">
        <v>211</v>
      </c>
      <c r="AZ22" s="13"/>
      <c r="BA22" s="84">
        <f>BA23+BA24</f>
        <v>12927983</v>
      </c>
      <c r="BB22" s="84">
        <f t="shared" ref="BB22:BF22" si="2">BB23+BB24</f>
        <v>12507983</v>
      </c>
      <c r="BC22" s="84">
        <f t="shared" si="2"/>
        <v>0</v>
      </c>
      <c r="BD22" s="84">
        <f t="shared" si="2"/>
        <v>0</v>
      </c>
      <c r="BE22" s="84">
        <f>BE23+BE24</f>
        <v>420000</v>
      </c>
      <c r="BF22" s="84">
        <f t="shared" si="2"/>
        <v>0</v>
      </c>
    </row>
    <row r="23" spans="1:59" ht="12.75" x14ac:dyDescent="0.2">
      <c r="A23" s="6"/>
      <c r="B23" s="7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9"/>
      <c r="AY23" s="8"/>
      <c r="AZ23" s="4" t="s">
        <v>15</v>
      </c>
      <c r="BA23" s="81">
        <f>BB23+BC23+BD23+BE23</f>
        <v>9982511</v>
      </c>
      <c r="BB23" s="81">
        <f>9658511</f>
        <v>9658511</v>
      </c>
      <c r="BC23" s="81">
        <v>0</v>
      </c>
      <c r="BD23" s="81"/>
      <c r="BE23" s="81">
        <f>324000</f>
        <v>324000</v>
      </c>
      <c r="BF23" s="81"/>
      <c r="BG23" s="31" t="s">
        <v>221</v>
      </c>
    </row>
    <row r="24" spans="1:59" ht="12.75" x14ac:dyDescent="0.2">
      <c r="A24" s="154"/>
      <c r="B24" s="161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9"/>
      <c r="AY24" s="8"/>
      <c r="AZ24" s="4" t="s">
        <v>16</v>
      </c>
      <c r="BA24" s="81">
        <f>BB24+BC24+BD24+BE24</f>
        <v>2945472</v>
      </c>
      <c r="BB24" s="81">
        <f>2849472</f>
        <v>2849472</v>
      </c>
      <c r="BC24" s="81">
        <v>0</v>
      </c>
      <c r="BD24" s="81"/>
      <c r="BE24" s="81">
        <f>96000</f>
        <v>96000</v>
      </c>
      <c r="BF24" s="81">
        <v>0</v>
      </c>
      <c r="BG24" s="31" t="s">
        <v>222</v>
      </c>
    </row>
    <row r="25" spans="1:59" ht="12.75" x14ac:dyDescent="0.2">
      <c r="A25" s="154"/>
      <c r="B25" s="161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9"/>
      <c r="AY25" s="8"/>
      <c r="AZ25" s="4" t="s">
        <v>14</v>
      </c>
      <c r="BA25" s="81">
        <f>BB25+BC25+BD25+BE25</f>
        <v>83182</v>
      </c>
      <c r="BB25" s="81">
        <f>57700</f>
        <v>57700</v>
      </c>
      <c r="BC25" s="81">
        <f>15000+2482</f>
        <v>17482</v>
      </c>
      <c r="BD25" s="81"/>
      <c r="BE25" s="81">
        <f>8000</f>
        <v>8000</v>
      </c>
      <c r="BF25" s="81">
        <v>0</v>
      </c>
      <c r="BG25" s="31" t="s">
        <v>223</v>
      </c>
    </row>
    <row r="26" spans="1:59" ht="12.75" x14ac:dyDescent="0.2">
      <c r="A26" s="154"/>
      <c r="B26" s="161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9"/>
      <c r="AY26" s="8"/>
      <c r="AZ26" s="4" t="s">
        <v>20</v>
      </c>
      <c r="BA26" s="81">
        <f>BB26+BC26+BD26+BE26</f>
        <v>87800</v>
      </c>
      <c r="BB26" s="81">
        <f>87800</f>
        <v>87800</v>
      </c>
      <c r="BC26" s="81">
        <v>0</v>
      </c>
      <c r="BD26" s="81"/>
      <c r="BE26" s="81"/>
      <c r="BF26" s="81">
        <v>0</v>
      </c>
      <c r="BG26" s="31" t="s">
        <v>223</v>
      </c>
    </row>
    <row r="27" spans="1:59" ht="33" customHeight="1" x14ac:dyDescent="0.2">
      <c r="A27" s="5"/>
      <c r="B27" s="208" t="s">
        <v>42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9"/>
      <c r="AY27" s="12">
        <v>220</v>
      </c>
      <c r="AZ27" s="13"/>
      <c r="BA27" s="84">
        <f>BA29</f>
        <v>0</v>
      </c>
      <c r="BB27" s="84">
        <f t="shared" ref="BB27:BF27" si="3">BB29</f>
        <v>0</v>
      </c>
      <c r="BC27" s="84">
        <f t="shared" si="3"/>
        <v>0</v>
      </c>
      <c r="BD27" s="84">
        <f t="shared" si="3"/>
        <v>0</v>
      </c>
      <c r="BE27" s="84">
        <f t="shared" si="3"/>
        <v>0</v>
      </c>
      <c r="BF27" s="84">
        <f t="shared" si="3"/>
        <v>0</v>
      </c>
    </row>
    <row r="28" spans="1:59" ht="12.75" x14ac:dyDescent="0.2">
      <c r="A28" s="6"/>
      <c r="B28" s="7"/>
      <c r="C28" s="218" t="s">
        <v>12</v>
      </c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9"/>
      <c r="AY28" s="8"/>
      <c r="AZ28" s="4"/>
      <c r="BA28" s="81"/>
      <c r="BB28" s="81"/>
      <c r="BC28" s="81"/>
      <c r="BD28" s="81"/>
      <c r="BE28" s="81"/>
      <c r="BF28" s="81"/>
    </row>
    <row r="29" spans="1:59" ht="12.75" x14ac:dyDescent="0.2">
      <c r="A29" s="154"/>
      <c r="B29" s="161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9"/>
      <c r="AY29" s="8"/>
      <c r="AZ29" s="4" t="s">
        <v>17</v>
      </c>
      <c r="BA29" s="81">
        <f>BB29+BC29+BD29+BE29</f>
        <v>0</v>
      </c>
      <c r="BB29" s="81">
        <v>0</v>
      </c>
      <c r="BC29" s="81">
        <v>0</v>
      </c>
      <c r="BD29" s="81">
        <v>0</v>
      </c>
      <c r="BE29" s="81">
        <v>0</v>
      </c>
      <c r="BF29" s="81">
        <v>0</v>
      </c>
    </row>
    <row r="30" spans="1:59" ht="21.95" customHeight="1" x14ac:dyDescent="0.2">
      <c r="A30" s="154"/>
      <c r="B30" s="161"/>
      <c r="C30" s="208" t="s">
        <v>43</v>
      </c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9"/>
      <c r="AY30" s="12">
        <v>230</v>
      </c>
      <c r="AZ30" s="13"/>
      <c r="BA30" s="84">
        <f>BA32+BA33+BA34</f>
        <v>396240</v>
      </c>
      <c r="BB30" s="84">
        <f>BB32+BB33+BB34</f>
        <v>391240</v>
      </c>
      <c r="BC30" s="84">
        <f t="shared" ref="BC30:BE30" si="4">BC32+BC33+BC34</f>
        <v>0</v>
      </c>
      <c r="BD30" s="84">
        <f t="shared" si="4"/>
        <v>0</v>
      </c>
      <c r="BE30" s="84">
        <f t="shared" si="4"/>
        <v>5000</v>
      </c>
      <c r="BF30" s="84">
        <f>BF32+BF33+BF34</f>
        <v>0</v>
      </c>
    </row>
    <row r="31" spans="1:59" ht="10.5" customHeight="1" x14ac:dyDescent="0.2">
      <c r="A31" s="154"/>
      <c r="B31" s="161"/>
      <c r="C31" s="218" t="s">
        <v>12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9"/>
      <c r="AY31" s="8"/>
      <c r="AZ31" s="4"/>
      <c r="BA31" s="81"/>
      <c r="BB31" s="81"/>
      <c r="BC31" s="81"/>
      <c r="BD31" s="81"/>
      <c r="BE31" s="81"/>
      <c r="BF31" s="81"/>
    </row>
    <row r="32" spans="1:59" ht="12.75" x14ac:dyDescent="0.2">
      <c r="A32" s="5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9"/>
      <c r="AY32" s="8"/>
      <c r="AZ32" s="4" t="s">
        <v>21</v>
      </c>
      <c r="BA32" s="81">
        <f>BB32+BC32+BD32+BE32</f>
        <v>356912</v>
      </c>
      <c r="BB32" s="81">
        <f>356912</f>
        <v>356912</v>
      </c>
      <c r="BC32" s="81">
        <v>0</v>
      </c>
      <c r="BD32" s="81"/>
      <c r="BE32" s="81">
        <v>0</v>
      </c>
      <c r="BF32" s="81">
        <v>0</v>
      </c>
    </row>
    <row r="33" spans="1:59" ht="12.75" x14ac:dyDescent="0.2">
      <c r="A33" s="6"/>
      <c r="B33" s="7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9"/>
      <c r="AY33" s="8"/>
      <c r="AZ33" s="4" t="s">
        <v>18</v>
      </c>
      <c r="BA33" s="81">
        <f>BB33+BC33+BD33+BE33</f>
        <v>34328</v>
      </c>
      <c r="BB33" s="81">
        <f>1450+32878</f>
        <v>34328</v>
      </c>
      <c r="BC33" s="81">
        <v>0</v>
      </c>
      <c r="BD33" s="81"/>
      <c r="BE33" s="81"/>
      <c r="BF33" s="81">
        <v>0</v>
      </c>
    </row>
    <row r="34" spans="1:59" ht="12.75" x14ac:dyDescent="0.2">
      <c r="A34" s="154"/>
      <c r="B34" s="161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9"/>
      <c r="AY34" s="8"/>
      <c r="AZ34" s="4" t="s">
        <v>19</v>
      </c>
      <c r="BA34" s="81">
        <f t="shared" ref="BA34" si="5">BB34+BC34+BD34+BE34</f>
        <v>5000</v>
      </c>
      <c r="BB34" s="81">
        <v>0</v>
      </c>
      <c r="BC34" s="81">
        <v>0</v>
      </c>
      <c r="BD34" s="81"/>
      <c r="BE34" s="81">
        <f>5000</f>
        <v>5000</v>
      </c>
      <c r="BF34" s="81">
        <v>0</v>
      </c>
    </row>
    <row r="35" spans="1:59" ht="23.25" customHeight="1" x14ac:dyDescent="0.2">
      <c r="A35" s="154"/>
      <c r="B35" s="161"/>
      <c r="C35" s="208" t="s">
        <v>44</v>
      </c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9"/>
      <c r="AY35" s="12">
        <v>240</v>
      </c>
      <c r="AZ35" s="13"/>
      <c r="BA35" s="84">
        <v>0</v>
      </c>
      <c r="BB35" s="84">
        <v>0</v>
      </c>
      <c r="BC35" s="84">
        <v>0</v>
      </c>
      <c r="BD35" s="84">
        <v>0</v>
      </c>
      <c r="BE35" s="84">
        <v>0</v>
      </c>
      <c r="BF35" s="84">
        <v>0</v>
      </c>
    </row>
    <row r="36" spans="1:59" ht="11.1" customHeight="1" x14ac:dyDescent="0.2">
      <c r="A36" s="154"/>
      <c r="B36" s="161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9"/>
      <c r="AY36" s="8"/>
      <c r="AZ36" s="4"/>
      <c r="BA36" s="81"/>
      <c r="BB36" s="81"/>
      <c r="BC36" s="81"/>
      <c r="BD36" s="81"/>
      <c r="BE36" s="81"/>
      <c r="BF36" s="81"/>
    </row>
    <row r="37" spans="1:59" ht="23.25" customHeight="1" x14ac:dyDescent="0.2">
      <c r="A37" s="154"/>
      <c r="B37" s="161"/>
      <c r="C37" s="208" t="s">
        <v>45</v>
      </c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9"/>
      <c r="AY37" s="12">
        <v>250</v>
      </c>
      <c r="AZ37" s="13" t="s">
        <v>55</v>
      </c>
      <c r="BA37" s="84">
        <f>BD37</f>
        <v>0</v>
      </c>
      <c r="BB37" s="84">
        <v>0</v>
      </c>
      <c r="BC37" s="84">
        <v>0</v>
      </c>
      <c r="BD37" s="84">
        <v>0</v>
      </c>
      <c r="BE37" s="84">
        <v>0</v>
      </c>
      <c r="BF37" s="84">
        <v>0</v>
      </c>
      <c r="BG37" s="9" t="s">
        <v>56</v>
      </c>
    </row>
    <row r="38" spans="1:59" ht="32.25" customHeight="1" x14ac:dyDescent="0.2">
      <c r="A38" s="5"/>
      <c r="B38" s="208" t="s">
        <v>54</v>
      </c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9"/>
      <c r="AY38" s="12">
        <v>260</v>
      </c>
      <c r="AZ38" s="13" t="s">
        <v>13</v>
      </c>
      <c r="BA38" s="84">
        <f>BB38+BC38+BD38+BE38</f>
        <v>3611837</v>
      </c>
      <c r="BB38" s="84">
        <f>44400+2047207+302106+434944+156800</f>
        <v>2985457</v>
      </c>
      <c r="BC38" s="84">
        <f>37380</f>
        <v>37380</v>
      </c>
      <c r="BD38" s="84"/>
      <c r="BE38" s="84">
        <f>34000+135000+50000+86000+125000+159000</f>
        <v>589000</v>
      </c>
      <c r="BF38" s="84">
        <v>0</v>
      </c>
    </row>
    <row r="39" spans="1:59" ht="12.75" x14ac:dyDescent="0.2">
      <c r="A39" s="6"/>
      <c r="B39" s="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9"/>
      <c r="AY39" s="8"/>
      <c r="AZ39" s="4"/>
      <c r="BA39" s="81"/>
      <c r="BB39" s="81"/>
      <c r="BC39" s="81"/>
      <c r="BD39" s="81"/>
      <c r="BE39" s="81"/>
      <c r="BF39" s="81"/>
    </row>
    <row r="40" spans="1:59" ht="11.1" customHeight="1" x14ac:dyDescent="0.2">
      <c r="A40" s="154"/>
      <c r="B40" s="161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9"/>
      <c r="AY40" s="8"/>
      <c r="AZ40" s="4"/>
      <c r="BA40" s="81"/>
      <c r="BB40" s="81"/>
      <c r="BC40" s="81"/>
      <c r="BD40" s="81"/>
      <c r="BE40" s="81"/>
      <c r="BF40" s="81"/>
    </row>
    <row r="41" spans="1:59" ht="22.5" customHeight="1" x14ac:dyDescent="0.2">
      <c r="A41" s="5"/>
      <c r="B41" s="218" t="s">
        <v>46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9"/>
      <c r="AY41" s="8">
        <v>300</v>
      </c>
      <c r="AZ41" s="4" t="s">
        <v>28</v>
      </c>
      <c r="BA41" s="81">
        <f t="shared" ref="BA41:BA46" si="6">BB41+BC41+BD41+BF41</f>
        <v>0</v>
      </c>
      <c r="BB41" s="81">
        <v>0</v>
      </c>
      <c r="BC41" s="81">
        <v>0</v>
      </c>
      <c r="BD41" s="81">
        <v>0</v>
      </c>
      <c r="BE41" s="81">
        <v>0</v>
      </c>
      <c r="BF41" s="81">
        <v>0</v>
      </c>
    </row>
    <row r="42" spans="1:59" ht="25.5" customHeight="1" x14ac:dyDescent="0.2">
      <c r="A42" s="6"/>
      <c r="B42" s="7"/>
      <c r="C42" s="218" t="s">
        <v>47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9"/>
      <c r="AY42" s="8">
        <v>310</v>
      </c>
      <c r="AZ42" s="4"/>
      <c r="BA42" s="81">
        <f t="shared" si="6"/>
        <v>0</v>
      </c>
      <c r="BB42" s="81">
        <v>0</v>
      </c>
      <c r="BC42" s="81">
        <v>0</v>
      </c>
      <c r="BD42" s="81">
        <v>0</v>
      </c>
      <c r="BE42" s="81">
        <v>0</v>
      </c>
      <c r="BF42" s="81">
        <v>0</v>
      </c>
    </row>
    <row r="43" spans="1:59" ht="14.25" customHeight="1" x14ac:dyDescent="0.2">
      <c r="A43" s="154"/>
      <c r="B43" s="161"/>
      <c r="C43" s="218" t="s">
        <v>48</v>
      </c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9"/>
      <c r="AY43" s="8">
        <v>320</v>
      </c>
      <c r="AZ43" s="4"/>
      <c r="BA43" s="81">
        <f t="shared" si="6"/>
        <v>0</v>
      </c>
      <c r="BB43" s="81">
        <v>0</v>
      </c>
      <c r="BC43" s="81">
        <v>0</v>
      </c>
      <c r="BD43" s="81">
        <v>0</v>
      </c>
      <c r="BE43" s="81">
        <v>0</v>
      </c>
      <c r="BF43" s="81">
        <v>0</v>
      </c>
    </row>
    <row r="44" spans="1:59" ht="21.95" customHeight="1" x14ac:dyDescent="0.2">
      <c r="A44" s="154"/>
      <c r="B44" s="161"/>
      <c r="C44" s="218" t="s">
        <v>49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9"/>
      <c r="AY44" s="8">
        <v>400</v>
      </c>
      <c r="AZ44" s="4"/>
      <c r="BA44" s="81">
        <f t="shared" si="6"/>
        <v>0</v>
      </c>
      <c r="BB44" s="81">
        <v>0</v>
      </c>
      <c r="BC44" s="81">
        <v>0</v>
      </c>
      <c r="BD44" s="81">
        <v>0</v>
      </c>
      <c r="BE44" s="81">
        <v>0</v>
      </c>
      <c r="BF44" s="81">
        <v>0</v>
      </c>
    </row>
    <row r="45" spans="1:59" ht="21.95" customHeight="1" x14ac:dyDescent="0.2">
      <c r="A45" s="154"/>
      <c r="B45" s="161"/>
      <c r="C45" s="218" t="s">
        <v>50</v>
      </c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9"/>
      <c r="AY45" s="8">
        <v>410</v>
      </c>
      <c r="AZ45" s="4"/>
      <c r="BA45" s="81">
        <f t="shared" si="6"/>
        <v>0</v>
      </c>
      <c r="BB45" s="81">
        <v>0</v>
      </c>
      <c r="BC45" s="81">
        <v>0</v>
      </c>
      <c r="BD45" s="81">
        <v>0</v>
      </c>
      <c r="BE45" s="81">
        <v>0</v>
      </c>
      <c r="BF45" s="81">
        <v>0</v>
      </c>
    </row>
    <row r="46" spans="1:59" ht="12" customHeight="1" x14ac:dyDescent="0.2">
      <c r="A46" s="154"/>
      <c r="B46" s="161"/>
      <c r="C46" s="218" t="s">
        <v>51</v>
      </c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9"/>
      <c r="AY46" s="8">
        <v>420</v>
      </c>
      <c r="AZ46" s="4"/>
      <c r="BA46" s="81">
        <f t="shared" si="6"/>
        <v>0</v>
      </c>
      <c r="BB46" s="81">
        <v>0</v>
      </c>
      <c r="BC46" s="81">
        <v>0</v>
      </c>
      <c r="BD46" s="81">
        <v>0</v>
      </c>
      <c r="BE46" s="81">
        <v>0</v>
      </c>
      <c r="BF46" s="81">
        <v>0</v>
      </c>
    </row>
    <row r="47" spans="1:59" ht="11.1" customHeight="1" x14ac:dyDescent="0.2">
      <c r="A47" s="154"/>
      <c r="B47" s="271" t="s">
        <v>22</v>
      </c>
      <c r="C47" s="208" t="s">
        <v>11</v>
      </c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9"/>
      <c r="AY47" s="12" t="s">
        <v>23</v>
      </c>
      <c r="AZ47" s="13" t="s">
        <v>28</v>
      </c>
      <c r="BA47" s="84">
        <f>BB47+BC47+BD47+BE47</f>
        <v>0</v>
      </c>
      <c r="BB47" s="84">
        <v>0</v>
      </c>
      <c r="BC47" s="84">
        <v>0</v>
      </c>
      <c r="BD47" s="84">
        <v>0</v>
      </c>
      <c r="BE47" s="84">
        <v>0</v>
      </c>
      <c r="BF47" s="84">
        <v>0</v>
      </c>
    </row>
    <row r="48" spans="1:59" ht="10.5" customHeight="1" x14ac:dyDescent="0.2">
      <c r="A48" s="154"/>
      <c r="B48" s="272" t="s">
        <v>24</v>
      </c>
      <c r="C48" s="218" t="s">
        <v>11</v>
      </c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9"/>
      <c r="AY48" s="8" t="s">
        <v>25</v>
      </c>
      <c r="AZ48" s="4" t="s">
        <v>28</v>
      </c>
      <c r="BA48" s="81">
        <f>BB48+BC48+BD48+BF48</f>
        <v>0</v>
      </c>
      <c r="BB48" s="81">
        <v>0</v>
      </c>
      <c r="BC48" s="81">
        <v>0</v>
      </c>
      <c r="BD48" s="81">
        <v>0</v>
      </c>
      <c r="BE48" s="81">
        <v>0</v>
      </c>
      <c r="BF48" s="81">
        <v>0</v>
      </c>
    </row>
    <row r="49" spans="1:58" ht="16.5" customHeight="1" x14ac:dyDescent="0.2">
      <c r="A49" s="264" t="s">
        <v>57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BA49" s="14">
        <f>BA20-BA9-BA47</f>
        <v>0</v>
      </c>
      <c r="BB49" s="14">
        <f t="shared" ref="BB49:BF49" si="7">BB20-BB9-BB47</f>
        <v>0</v>
      </c>
      <c r="BC49" s="14">
        <f t="shared" si="7"/>
        <v>0</v>
      </c>
      <c r="BD49" s="14">
        <f t="shared" si="7"/>
        <v>0</v>
      </c>
      <c r="BE49" s="14">
        <f t="shared" si="7"/>
        <v>0</v>
      </c>
      <c r="BF49" s="14">
        <f t="shared" si="7"/>
        <v>0</v>
      </c>
    </row>
  </sheetData>
  <mergeCells count="53">
    <mergeCell ref="C46:AX46"/>
    <mergeCell ref="B48:AX48"/>
    <mergeCell ref="A49:AX49"/>
    <mergeCell ref="C39:AX39"/>
    <mergeCell ref="C42:AX42"/>
    <mergeCell ref="C43:AX43"/>
    <mergeCell ref="C44:AX44"/>
    <mergeCell ref="C45:AX45"/>
    <mergeCell ref="B47:AX47"/>
    <mergeCell ref="C37:AX37"/>
    <mergeCell ref="B38:AX38"/>
    <mergeCell ref="C40:AX40"/>
    <mergeCell ref="B41:AX41"/>
    <mergeCell ref="C36:AX36"/>
    <mergeCell ref="C25:AX25"/>
    <mergeCell ref="C28:AX28"/>
    <mergeCell ref="C29:AX29"/>
    <mergeCell ref="C30:AX30"/>
    <mergeCell ref="C33:AX33"/>
    <mergeCell ref="C34:AX34"/>
    <mergeCell ref="C35:AX35"/>
    <mergeCell ref="C26:AX26"/>
    <mergeCell ref="B27:AX27"/>
    <mergeCell ref="C31:AX31"/>
    <mergeCell ref="B32:AX32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3:AX23"/>
    <mergeCell ref="B22:AX22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</mergeCells>
  <pageMargins left="0.11811023622047245" right="0.11811023622047245" top="0" bottom="0" header="0.31496062992125984" footer="0.31496062992125984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H49"/>
  <sheetViews>
    <sheetView view="pageBreakPreview" zoomScaleNormal="71" zoomScaleSheetLayoutView="100" workbookViewId="0">
      <pane ySplit="8" topLeftCell="A30" activePane="bottomLeft" state="frozen"/>
      <selection pane="bottomLeft" activeCell="AY56" sqref="AY56"/>
    </sheetView>
  </sheetViews>
  <sheetFormatPr defaultRowHeight="10.15" customHeight="1" x14ac:dyDescent="0.2"/>
  <cols>
    <col min="1" max="49" width="0.28515625" style="31" customWidth="1"/>
    <col min="50" max="50" width="10.5703125" style="31" customWidth="1"/>
    <col min="51" max="51" width="6.7109375" style="31" customWidth="1"/>
    <col min="52" max="52" width="8.7109375" style="31" customWidth="1"/>
    <col min="53" max="53" width="13.5703125" style="31" customWidth="1"/>
    <col min="54" max="54" width="13.42578125" style="31" customWidth="1"/>
    <col min="55" max="55" width="15.140625" style="31" customWidth="1"/>
    <col min="56" max="56" width="12.140625" style="31" customWidth="1"/>
    <col min="57" max="57" width="12.28515625" style="31" customWidth="1"/>
    <col min="58" max="58" width="9.7109375" style="31" customWidth="1"/>
    <col min="59" max="59" width="13.42578125" style="31" bestFit="1" customWidth="1"/>
    <col min="60" max="16384" width="9.140625" style="31"/>
  </cols>
  <sheetData>
    <row r="1" spans="1:59" ht="12.75" x14ac:dyDescent="0.2"/>
    <row r="2" spans="1:59" ht="21" customHeight="1" x14ac:dyDescent="0.2">
      <c r="A2" s="227" t="s">
        <v>214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</row>
    <row r="3" spans="1:59" ht="12.75" x14ac:dyDescent="0.2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"/>
      <c r="BD3" s="1"/>
      <c r="BE3" s="1"/>
      <c r="BF3" s="1"/>
    </row>
    <row r="4" spans="1:59" ht="12.75" customHeight="1" x14ac:dyDescent="0.2">
      <c r="A4" s="234" t="s">
        <v>0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6"/>
      <c r="AY4" s="243" t="s">
        <v>1</v>
      </c>
      <c r="AZ4" s="243" t="s">
        <v>2</v>
      </c>
      <c r="BA4" s="228" t="s">
        <v>3</v>
      </c>
      <c r="BB4" s="229"/>
      <c r="BC4" s="229"/>
      <c r="BD4" s="229"/>
      <c r="BE4" s="229"/>
      <c r="BF4" s="229"/>
    </row>
    <row r="5" spans="1:59" ht="12.75" customHeight="1" x14ac:dyDescent="0.2">
      <c r="A5" s="237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9"/>
      <c r="AY5" s="244"/>
      <c r="AZ5" s="244"/>
      <c r="BA5" s="244" t="s">
        <v>26</v>
      </c>
      <c r="BB5" s="245" t="s">
        <v>4</v>
      </c>
      <c r="BC5" s="245"/>
      <c r="BD5" s="245"/>
      <c r="BE5" s="245"/>
      <c r="BF5" s="245"/>
    </row>
    <row r="6" spans="1:59" ht="61.5" customHeight="1" x14ac:dyDescent="0.2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9"/>
      <c r="AY6" s="244"/>
      <c r="AZ6" s="244"/>
      <c r="BA6" s="244"/>
      <c r="BB6" s="231" t="s">
        <v>5</v>
      </c>
      <c r="BC6" s="231" t="s">
        <v>6</v>
      </c>
      <c r="BD6" s="231" t="s">
        <v>7</v>
      </c>
      <c r="BE6" s="231" t="s">
        <v>8</v>
      </c>
      <c r="BF6" s="231"/>
    </row>
    <row r="7" spans="1:59" ht="26.25" customHeight="1" x14ac:dyDescent="0.2">
      <c r="A7" s="240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2"/>
      <c r="AY7" s="245"/>
      <c r="AZ7" s="245"/>
      <c r="BA7" s="245"/>
      <c r="BB7" s="231"/>
      <c r="BC7" s="231"/>
      <c r="BD7" s="231"/>
      <c r="BE7" s="159" t="s">
        <v>9</v>
      </c>
      <c r="BF7" s="159" t="s">
        <v>10</v>
      </c>
    </row>
    <row r="8" spans="1:59" ht="11.1" customHeight="1" x14ac:dyDescent="0.2">
      <c r="A8" s="228">
        <v>1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30"/>
      <c r="AY8" s="2">
        <v>2</v>
      </c>
      <c r="AZ8" s="160">
        <v>3</v>
      </c>
      <c r="BA8" s="160">
        <v>4</v>
      </c>
      <c r="BB8" s="160">
        <v>5</v>
      </c>
      <c r="BC8" s="160">
        <v>6</v>
      </c>
      <c r="BD8" s="160">
        <v>7</v>
      </c>
      <c r="BE8" s="159">
        <v>8</v>
      </c>
      <c r="BF8" s="159">
        <v>9</v>
      </c>
    </row>
    <row r="9" spans="1:59" ht="23.25" customHeight="1" x14ac:dyDescent="0.2">
      <c r="A9" s="3"/>
      <c r="B9" s="247" t="s">
        <v>27</v>
      </c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8"/>
      <c r="AY9" s="11">
        <v>100</v>
      </c>
      <c r="AZ9" s="73" t="s">
        <v>28</v>
      </c>
      <c r="BA9" s="164">
        <f>BA10+BA12+BA14+BA15+BA16+BA17+BA18+BA13</f>
        <v>17107042</v>
      </c>
      <c r="BB9" s="164">
        <f>BB12</f>
        <v>16030180</v>
      </c>
      <c r="BC9" s="164">
        <f>BC16</f>
        <v>54862</v>
      </c>
      <c r="BD9" s="164">
        <f>BD16</f>
        <v>0</v>
      </c>
      <c r="BE9" s="164">
        <f>BE10+BE12+BE14+BE15+BE17+BE18+BE13</f>
        <v>1022000</v>
      </c>
      <c r="BF9" s="164">
        <f>BF12+BF17</f>
        <v>0</v>
      </c>
      <c r="BG9" s="83">
        <f>BA9+BA48-BA20</f>
        <v>0</v>
      </c>
    </row>
    <row r="10" spans="1:59" ht="21.75" customHeight="1" x14ac:dyDescent="0.2">
      <c r="A10" s="5"/>
      <c r="B10" s="218" t="s">
        <v>52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9"/>
      <c r="AY10" s="8">
        <v>110</v>
      </c>
      <c r="AZ10" s="4" t="s">
        <v>237</v>
      </c>
      <c r="BA10" s="81">
        <f>BE10</f>
        <v>162000</v>
      </c>
      <c r="BB10" s="81" t="s">
        <v>28</v>
      </c>
      <c r="BC10" s="81" t="s">
        <v>28</v>
      </c>
      <c r="BD10" s="81" t="s">
        <v>28</v>
      </c>
      <c r="BE10" s="81">
        <f>162000</f>
        <v>162000</v>
      </c>
      <c r="BF10" s="81" t="s">
        <v>28</v>
      </c>
      <c r="BG10" s="9" t="s">
        <v>29</v>
      </c>
    </row>
    <row r="11" spans="1:59" ht="13.5" customHeight="1" x14ac:dyDescent="0.2">
      <c r="A11" s="5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9"/>
      <c r="AY11" s="8"/>
      <c r="AZ11" s="4"/>
      <c r="BA11" s="81"/>
      <c r="BB11" s="81"/>
      <c r="BC11" s="81"/>
      <c r="BD11" s="81"/>
      <c r="BE11" s="81"/>
      <c r="BF11" s="81"/>
    </row>
    <row r="12" spans="1:59" ht="12.75" customHeight="1" x14ac:dyDescent="0.2">
      <c r="A12" s="5"/>
      <c r="B12" s="218" t="s">
        <v>32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9"/>
      <c r="AY12" s="8">
        <v>120</v>
      </c>
      <c r="AZ12" s="4" t="s">
        <v>238</v>
      </c>
      <c r="BA12" s="81">
        <f>BB12+BE12+BF12</f>
        <v>16730180</v>
      </c>
      <c r="BB12" s="81">
        <f>16030180</f>
        <v>16030180</v>
      </c>
      <c r="BC12" s="81" t="s">
        <v>28</v>
      </c>
      <c r="BD12" s="81" t="s">
        <v>28</v>
      </c>
      <c r="BE12" s="81">
        <f>700000</f>
        <v>700000</v>
      </c>
      <c r="BF12" s="81">
        <v>0</v>
      </c>
      <c r="BG12" s="9" t="s">
        <v>36</v>
      </c>
    </row>
    <row r="13" spans="1:59" ht="24" customHeight="1" x14ac:dyDescent="0.2">
      <c r="A13" s="5"/>
      <c r="B13" s="218" t="s">
        <v>242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9"/>
      <c r="AY13" s="8">
        <v>130</v>
      </c>
      <c r="AZ13" s="4" t="s">
        <v>244</v>
      </c>
      <c r="BA13" s="81">
        <f>BB13+BE13+BF13</f>
        <v>100000</v>
      </c>
      <c r="BB13" s="81">
        <v>0</v>
      </c>
      <c r="BC13" s="81" t="s">
        <v>28</v>
      </c>
      <c r="BD13" s="81" t="s">
        <v>28</v>
      </c>
      <c r="BE13" s="81">
        <f>100000</f>
        <v>100000</v>
      </c>
      <c r="BF13" s="81">
        <v>0</v>
      </c>
      <c r="BG13" s="9" t="s">
        <v>36</v>
      </c>
    </row>
    <row r="14" spans="1:59" ht="56.25" customHeight="1" x14ac:dyDescent="0.2">
      <c r="A14" s="5"/>
      <c r="B14" s="218" t="s">
        <v>31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9"/>
      <c r="AY14" s="8">
        <v>140</v>
      </c>
      <c r="AZ14" s="4" t="s">
        <v>239</v>
      </c>
      <c r="BA14" s="81">
        <f>BE14</f>
        <v>60000</v>
      </c>
      <c r="BB14" s="81" t="s">
        <v>28</v>
      </c>
      <c r="BC14" s="81" t="s">
        <v>28</v>
      </c>
      <c r="BD14" s="81" t="s">
        <v>28</v>
      </c>
      <c r="BE14" s="81">
        <f>60000</f>
        <v>60000</v>
      </c>
      <c r="BF14" s="81" t="s">
        <v>28</v>
      </c>
      <c r="BG14" s="9" t="s">
        <v>199</v>
      </c>
    </row>
    <row r="15" spans="1:59" ht="26.25" customHeight="1" x14ac:dyDescent="0.2">
      <c r="A15" s="5"/>
      <c r="B15" s="218" t="s">
        <v>30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9"/>
      <c r="AY15" s="8">
        <v>150</v>
      </c>
      <c r="AZ15" s="4" t="s">
        <v>37</v>
      </c>
      <c r="BA15" s="81">
        <f>BE15</f>
        <v>0</v>
      </c>
      <c r="BB15" s="81" t="s">
        <v>28</v>
      </c>
      <c r="BC15" s="81" t="s">
        <v>28</v>
      </c>
      <c r="BD15" s="81" t="s">
        <v>28</v>
      </c>
      <c r="BE15" s="81">
        <v>0</v>
      </c>
      <c r="BF15" s="81" t="s">
        <v>28</v>
      </c>
    </row>
    <row r="16" spans="1:59" ht="13.5" customHeight="1" x14ac:dyDescent="0.2">
      <c r="A16" s="5"/>
      <c r="B16" s="218" t="s">
        <v>33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9"/>
      <c r="AY16" s="8">
        <v>160</v>
      </c>
      <c r="AZ16" s="4" t="s">
        <v>240</v>
      </c>
      <c r="BA16" s="81">
        <f>BC16+BD16</f>
        <v>54862</v>
      </c>
      <c r="BB16" s="81" t="s">
        <v>28</v>
      </c>
      <c r="BC16" s="81">
        <f>15000+2482+37380</f>
        <v>54862</v>
      </c>
      <c r="BD16" s="81">
        <v>0</v>
      </c>
      <c r="BE16" s="81" t="s">
        <v>28</v>
      </c>
      <c r="BF16" s="81" t="s">
        <v>28</v>
      </c>
      <c r="BG16" s="9" t="s">
        <v>38</v>
      </c>
    </row>
    <row r="17" spans="1:60" ht="13.5" customHeight="1" x14ac:dyDescent="0.2">
      <c r="A17" s="5"/>
      <c r="B17" s="218" t="s">
        <v>34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9"/>
      <c r="AY17" s="8">
        <v>170</v>
      </c>
      <c r="AZ17" s="4" t="s">
        <v>241</v>
      </c>
      <c r="BA17" s="81">
        <f>BE17</f>
        <v>0</v>
      </c>
      <c r="BB17" s="81" t="s">
        <v>28</v>
      </c>
      <c r="BC17" s="81" t="s">
        <v>28</v>
      </c>
      <c r="BD17" s="81" t="s">
        <v>28</v>
      </c>
      <c r="BE17" s="81">
        <v>0</v>
      </c>
      <c r="BF17" s="81">
        <v>0</v>
      </c>
      <c r="BG17" s="9" t="s">
        <v>200</v>
      </c>
    </row>
    <row r="18" spans="1:60" ht="18" customHeight="1" x14ac:dyDescent="0.2">
      <c r="A18" s="5"/>
      <c r="B18" s="218" t="s">
        <v>35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8">
        <v>180</v>
      </c>
      <c r="AZ18" s="4" t="s">
        <v>53</v>
      </c>
      <c r="BA18" s="81">
        <f>BE18</f>
        <v>0</v>
      </c>
      <c r="BB18" s="81" t="s">
        <v>28</v>
      </c>
      <c r="BC18" s="81" t="s">
        <v>28</v>
      </c>
      <c r="BD18" s="81" t="s">
        <v>28</v>
      </c>
      <c r="BE18" s="81">
        <v>0</v>
      </c>
      <c r="BF18" s="81">
        <v>0</v>
      </c>
    </row>
    <row r="19" spans="1:60" ht="12" customHeight="1" x14ac:dyDescent="0.2">
      <c r="A19" s="10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9"/>
      <c r="AY19" s="8"/>
      <c r="AZ19" s="4"/>
      <c r="BA19" s="81"/>
      <c r="BB19" s="81"/>
      <c r="BC19" s="81"/>
      <c r="BD19" s="81"/>
      <c r="BE19" s="81"/>
      <c r="BF19" s="81"/>
    </row>
    <row r="20" spans="1:60" ht="25.5" customHeight="1" x14ac:dyDescent="0.2">
      <c r="A20" s="3"/>
      <c r="B20" s="247" t="s">
        <v>39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8"/>
      <c r="AY20" s="11">
        <v>200</v>
      </c>
      <c r="AZ20" s="73" t="s">
        <v>28</v>
      </c>
      <c r="BA20" s="164">
        <f>BA21+BA27+BA30+BA35+BA37+BA38</f>
        <v>17107042</v>
      </c>
      <c r="BB20" s="164">
        <f>BB21+BB27+BB30+BB35+BB37+BB38</f>
        <v>16030180</v>
      </c>
      <c r="BC20" s="164">
        <f t="shared" ref="BC20:BE20" si="0">BC21+BC27+BC30+BC35+BC37+BC38</f>
        <v>54862</v>
      </c>
      <c r="BD20" s="164">
        <f t="shared" si="0"/>
        <v>0</v>
      </c>
      <c r="BE20" s="164">
        <f t="shared" si="0"/>
        <v>1022000</v>
      </c>
      <c r="BF20" s="164">
        <f>BF21+BF27+BF30+BF35+BF37+BF38</f>
        <v>0</v>
      </c>
      <c r="BG20" s="86"/>
      <c r="BH20" s="35"/>
    </row>
    <row r="21" spans="1:60" ht="36" customHeight="1" x14ac:dyDescent="0.2">
      <c r="A21" s="5"/>
      <c r="B21" s="208" t="s">
        <v>40</v>
      </c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9"/>
      <c r="AY21" s="12">
        <v>210</v>
      </c>
      <c r="AZ21" s="13"/>
      <c r="BA21" s="84">
        <f>BA22+BA25+BA26</f>
        <v>13098965</v>
      </c>
      <c r="BB21" s="84">
        <f t="shared" ref="BB21:BF21" si="1">BB22+BB25+BB26</f>
        <v>12653483</v>
      </c>
      <c r="BC21" s="84">
        <f t="shared" si="1"/>
        <v>17482</v>
      </c>
      <c r="BD21" s="84">
        <f t="shared" si="1"/>
        <v>0</v>
      </c>
      <c r="BE21" s="84">
        <f t="shared" si="1"/>
        <v>428000</v>
      </c>
      <c r="BF21" s="84">
        <f t="shared" si="1"/>
        <v>0</v>
      </c>
    </row>
    <row r="22" spans="1:60" ht="35.25" customHeight="1" x14ac:dyDescent="0.2">
      <c r="A22" s="5"/>
      <c r="B22" s="208" t="s">
        <v>41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9"/>
      <c r="AY22" s="12">
        <v>211</v>
      </c>
      <c r="AZ22" s="13"/>
      <c r="BA22" s="84">
        <f>BA23+BA24</f>
        <v>12927983</v>
      </c>
      <c r="BB22" s="84">
        <f t="shared" ref="BB22:BF22" si="2">BB23+BB24</f>
        <v>12507983</v>
      </c>
      <c r="BC22" s="84">
        <f t="shared" si="2"/>
        <v>0</v>
      </c>
      <c r="BD22" s="84">
        <f t="shared" si="2"/>
        <v>0</v>
      </c>
      <c r="BE22" s="84">
        <f>BE23+BE24</f>
        <v>420000</v>
      </c>
      <c r="BF22" s="84">
        <f t="shared" si="2"/>
        <v>0</v>
      </c>
    </row>
    <row r="23" spans="1:60" ht="12.75" x14ac:dyDescent="0.2">
      <c r="A23" s="6"/>
      <c r="B23" s="7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9"/>
      <c r="AY23" s="8"/>
      <c r="AZ23" s="4" t="s">
        <v>15</v>
      </c>
      <c r="BA23" s="81">
        <f>BB23+BC23+BD23+BE23</f>
        <v>9982511</v>
      </c>
      <c r="BB23" s="81">
        <f>9658511</f>
        <v>9658511</v>
      </c>
      <c r="BC23" s="81">
        <v>0</v>
      </c>
      <c r="BD23" s="81">
        <v>0</v>
      </c>
      <c r="BE23" s="81">
        <f>324000</f>
        <v>324000</v>
      </c>
      <c r="BF23" s="81">
        <v>0</v>
      </c>
    </row>
    <row r="24" spans="1:60" ht="12.75" x14ac:dyDescent="0.2">
      <c r="A24" s="154"/>
      <c r="B24" s="161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9"/>
      <c r="AY24" s="8"/>
      <c r="AZ24" s="4" t="s">
        <v>16</v>
      </c>
      <c r="BA24" s="81">
        <f>BB24+BC24+BD24+BE24</f>
        <v>2945472</v>
      </c>
      <c r="BB24" s="81">
        <f>2849472</f>
        <v>2849472</v>
      </c>
      <c r="BC24" s="81">
        <v>0</v>
      </c>
      <c r="BD24" s="81">
        <v>0</v>
      </c>
      <c r="BE24" s="81">
        <f>96000</f>
        <v>96000</v>
      </c>
      <c r="BF24" s="81">
        <v>0</v>
      </c>
    </row>
    <row r="25" spans="1:60" ht="12.75" x14ac:dyDescent="0.2">
      <c r="A25" s="154"/>
      <c r="B25" s="161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9"/>
      <c r="AY25" s="8"/>
      <c r="AZ25" s="4" t="s">
        <v>14</v>
      </c>
      <c r="BA25" s="81">
        <f>BB25+BC25+BD25+BE25</f>
        <v>83182</v>
      </c>
      <c r="BB25" s="81">
        <f>57700</f>
        <v>57700</v>
      </c>
      <c r="BC25" s="81">
        <f>15000+2482</f>
        <v>17482</v>
      </c>
      <c r="BD25" s="81">
        <v>0</v>
      </c>
      <c r="BE25" s="81">
        <f>8000</f>
        <v>8000</v>
      </c>
      <c r="BF25" s="81">
        <v>0</v>
      </c>
    </row>
    <row r="26" spans="1:60" ht="12.75" x14ac:dyDescent="0.2">
      <c r="A26" s="154"/>
      <c r="B26" s="161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9"/>
      <c r="AY26" s="8"/>
      <c r="AZ26" s="4" t="s">
        <v>20</v>
      </c>
      <c r="BA26" s="81">
        <f>BB26+BC26+BD26+BE26</f>
        <v>87800</v>
      </c>
      <c r="BB26" s="81">
        <f>87800</f>
        <v>87800</v>
      </c>
      <c r="BC26" s="81">
        <v>0</v>
      </c>
      <c r="BD26" s="81">
        <v>0</v>
      </c>
      <c r="BE26" s="81"/>
      <c r="BF26" s="81">
        <v>0</v>
      </c>
    </row>
    <row r="27" spans="1:60" ht="33" customHeight="1" x14ac:dyDescent="0.2">
      <c r="A27" s="5"/>
      <c r="B27" s="208" t="s">
        <v>42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9"/>
      <c r="AY27" s="12">
        <v>220</v>
      </c>
      <c r="AZ27" s="13"/>
      <c r="BA27" s="84">
        <f>BA29</f>
        <v>0</v>
      </c>
      <c r="BB27" s="84">
        <f t="shared" ref="BB27:BF27" si="3">BB29</f>
        <v>0</v>
      </c>
      <c r="BC27" s="84">
        <f t="shared" si="3"/>
        <v>0</v>
      </c>
      <c r="BD27" s="84">
        <f t="shared" si="3"/>
        <v>0</v>
      </c>
      <c r="BE27" s="84">
        <f t="shared" si="3"/>
        <v>0</v>
      </c>
      <c r="BF27" s="84">
        <f t="shared" si="3"/>
        <v>0</v>
      </c>
    </row>
    <row r="28" spans="1:60" ht="12.75" x14ac:dyDescent="0.2">
      <c r="A28" s="6"/>
      <c r="B28" s="7"/>
      <c r="C28" s="218" t="s">
        <v>12</v>
      </c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9"/>
      <c r="AY28" s="8"/>
      <c r="AZ28" s="4"/>
      <c r="BA28" s="81"/>
      <c r="BB28" s="81"/>
      <c r="BC28" s="81"/>
      <c r="BD28" s="81"/>
      <c r="BE28" s="81"/>
      <c r="BF28" s="81"/>
    </row>
    <row r="29" spans="1:60" ht="12.75" x14ac:dyDescent="0.2">
      <c r="A29" s="154"/>
      <c r="B29" s="161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9"/>
      <c r="AY29" s="8"/>
      <c r="AZ29" s="4" t="s">
        <v>17</v>
      </c>
      <c r="BA29" s="81">
        <f>BB29+BC29+BD29+BE29</f>
        <v>0</v>
      </c>
      <c r="BB29" s="81">
        <v>0</v>
      </c>
      <c r="BC29" s="81">
        <v>0</v>
      </c>
      <c r="BD29" s="81">
        <v>0</v>
      </c>
      <c r="BE29" s="81">
        <v>0</v>
      </c>
      <c r="BF29" s="81">
        <v>0</v>
      </c>
    </row>
    <row r="30" spans="1:60" ht="21.95" customHeight="1" x14ac:dyDescent="0.2">
      <c r="A30" s="154"/>
      <c r="B30" s="161"/>
      <c r="C30" s="208" t="s">
        <v>43</v>
      </c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9"/>
      <c r="AY30" s="12">
        <v>230</v>
      </c>
      <c r="AZ30" s="13"/>
      <c r="BA30" s="84">
        <f>BA32+BA33+BA34</f>
        <v>396240</v>
      </c>
      <c r="BB30" s="84">
        <f>BB32+BB33+BB34</f>
        <v>391240</v>
      </c>
      <c r="BC30" s="84">
        <f t="shared" ref="BC30:BE30" si="4">BC32+BC33+BC34</f>
        <v>0</v>
      </c>
      <c r="BD30" s="84">
        <f t="shared" si="4"/>
        <v>0</v>
      </c>
      <c r="BE30" s="84">
        <f t="shared" si="4"/>
        <v>5000</v>
      </c>
      <c r="BF30" s="84">
        <f>BF32+BF33+BF34</f>
        <v>0</v>
      </c>
    </row>
    <row r="31" spans="1:60" ht="10.5" customHeight="1" x14ac:dyDescent="0.2">
      <c r="A31" s="154"/>
      <c r="B31" s="161"/>
      <c r="C31" s="218" t="s">
        <v>12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9"/>
      <c r="AY31" s="8"/>
      <c r="AZ31" s="4"/>
      <c r="BA31" s="81"/>
      <c r="BB31" s="81"/>
      <c r="BC31" s="81"/>
      <c r="BD31" s="81"/>
      <c r="BE31" s="81"/>
      <c r="BF31" s="81"/>
    </row>
    <row r="32" spans="1:60" ht="12.75" x14ac:dyDescent="0.2">
      <c r="A32" s="5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9"/>
      <c r="AY32" s="8"/>
      <c r="AZ32" s="4" t="s">
        <v>21</v>
      </c>
      <c r="BA32" s="81">
        <f>BB32+BC32+BD32+BE32</f>
        <v>356912</v>
      </c>
      <c r="BB32" s="81">
        <f>356912</f>
        <v>356912</v>
      </c>
      <c r="BC32" s="81">
        <v>0</v>
      </c>
      <c r="BD32" s="81"/>
      <c r="BE32" s="81">
        <v>0</v>
      </c>
      <c r="BF32" s="81">
        <v>0</v>
      </c>
    </row>
    <row r="33" spans="1:59" ht="12.75" x14ac:dyDescent="0.2">
      <c r="A33" s="6"/>
      <c r="B33" s="7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9"/>
      <c r="AY33" s="8"/>
      <c r="AZ33" s="4" t="s">
        <v>18</v>
      </c>
      <c r="BA33" s="81">
        <f>BB33+BC33+BD33+BE33</f>
        <v>34328</v>
      </c>
      <c r="BB33" s="81">
        <f>32878+1450</f>
        <v>34328</v>
      </c>
      <c r="BC33" s="81">
        <v>0</v>
      </c>
      <c r="BD33" s="81"/>
      <c r="BE33" s="81"/>
      <c r="BF33" s="81">
        <v>0</v>
      </c>
    </row>
    <row r="34" spans="1:59" ht="23.25" customHeight="1" x14ac:dyDescent="0.2">
      <c r="A34" s="154"/>
      <c r="B34" s="161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9"/>
      <c r="AY34" s="8"/>
      <c r="AZ34" s="4" t="s">
        <v>19</v>
      </c>
      <c r="BA34" s="81">
        <f t="shared" ref="BA34" si="5">BB34+BC34+BD34+BE34</f>
        <v>5000</v>
      </c>
      <c r="BB34" s="81"/>
      <c r="BC34" s="81">
        <v>0</v>
      </c>
      <c r="BD34" s="81"/>
      <c r="BE34" s="81">
        <f>5000</f>
        <v>5000</v>
      </c>
      <c r="BF34" s="81">
        <v>0</v>
      </c>
    </row>
    <row r="35" spans="1:59" ht="11.1" customHeight="1" x14ac:dyDescent="0.2">
      <c r="A35" s="154"/>
      <c r="B35" s="161"/>
      <c r="C35" s="208" t="s">
        <v>44</v>
      </c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9"/>
      <c r="AY35" s="12">
        <v>240</v>
      </c>
      <c r="AZ35" s="13"/>
      <c r="BA35" s="84">
        <v>0</v>
      </c>
      <c r="BB35" s="84">
        <v>0</v>
      </c>
      <c r="BC35" s="84">
        <v>0</v>
      </c>
      <c r="BD35" s="84">
        <v>0</v>
      </c>
      <c r="BE35" s="84">
        <v>0</v>
      </c>
      <c r="BF35" s="84">
        <v>0</v>
      </c>
    </row>
    <row r="36" spans="1:59" ht="23.25" customHeight="1" x14ac:dyDescent="0.2">
      <c r="A36" s="154"/>
      <c r="B36" s="161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9"/>
      <c r="AY36" s="8"/>
      <c r="AZ36" s="4"/>
      <c r="BA36" s="81"/>
      <c r="BB36" s="81"/>
      <c r="BC36" s="81"/>
      <c r="BD36" s="81"/>
      <c r="BE36" s="81"/>
      <c r="BF36" s="81"/>
    </row>
    <row r="37" spans="1:59" ht="32.25" customHeight="1" x14ac:dyDescent="0.2">
      <c r="A37" s="154"/>
      <c r="B37" s="161"/>
      <c r="C37" s="208" t="s">
        <v>45</v>
      </c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9"/>
      <c r="AY37" s="12">
        <v>250</v>
      </c>
      <c r="AZ37" s="13" t="s">
        <v>55</v>
      </c>
      <c r="BA37" s="84">
        <f>BD37</f>
        <v>0</v>
      </c>
      <c r="BB37" s="84">
        <v>0</v>
      </c>
      <c r="BC37" s="84">
        <v>0</v>
      </c>
      <c r="BD37" s="84">
        <v>0</v>
      </c>
      <c r="BE37" s="84">
        <v>0</v>
      </c>
      <c r="BF37" s="84">
        <v>0</v>
      </c>
      <c r="BG37" s="9" t="s">
        <v>56</v>
      </c>
    </row>
    <row r="38" spans="1:59" ht="12.75" x14ac:dyDescent="0.2">
      <c r="A38" s="5"/>
      <c r="B38" s="208" t="s">
        <v>54</v>
      </c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9"/>
      <c r="AY38" s="12">
        <v>260</v>
      </c>
      <c r="AZ38" s="13" t="s">
        <v>13</v>
      </c>
      <c r="BA38" s="84">
        <f>BB38+BC38+BD38+BE38</f>
        <v>3611837</v>
      </c>
      <c r="BB38" s="84">
        <f>44400+2047207+302106+434944+156800</f>
        <v>2985457</v>
      </c>
      <c r="BC38" s="84">
        <v>37380</v>
      </c>
      <c r="BD38" s="84">
        <v>0</v>
      </c>
      <c r="BE38" s="84">
        <f>34000+135000+50000+86000+125000+159000</f>
        <v>589000</v>
      </c>
      <c r="BF38" s="84">
        <v>0</v>
      </c>
    </row>
    <row r="39" spans="1:59" ht="11.1" customHeight="1" x14ac:dyDescent="0.2">
      <c r="A39" s="6"/>
      <c r="B39" s="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9"/>
      <c r="AY39" s="8"/>
      <c r="AZ39" s="4"/>
      <c r="BA39" s="81"/>
      <c r="BB39" s="81"/>
      <c r="BC39" s="81"/>
      <c r="BD39" s="81"/>
      <c r="BE39" s="81"/>
      <c r="BF39" s="81"/>
    </row>
    <row r="40" spans="1:59" ht="22.5" customHeight="1" x14ac:dyDescent="0.2">
      <c r="A40" s="154"/>
      <c r="B40" s="161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9"/>
      <c r="AY40" s="8"/>
      <c r="AZ40" s="4"/>
      <c r="BA40" s="81"/>
      <c r="BB40" s="81"/>
      <c r="BC40" s="81"/>
      <c r="BD40" s="81"/>
      <c r="BE40" s="81"/>
      <c r="BF40" s="81"/>
    </row>
    <row r="41" spans="1:59" ht="25.5" customHeight="1" x14ac:dyDescent="0.2">
      <c r="A41" s="5"/>
      <c r="B41" s="218" t="s">
        <v>46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9"/>
      <c r="AY41" s="8">
        <v>300</v>
      </c>
      <c r="AZ41" s="4" t="s">
        <v>28</v>
      </c>
      <c r="BA41" s="81">
        <f t="shared" ref="BA41:BA46" si="6">BB41+BC41+BD41+BF41</f>
        <v>0</v>
      </c>
      <c r="BB41" s="81">
        <v>0</v>
      </c>
      <c r="BC41" s="81">
        <v>0</v>
      </c>
      <c r="BD41" s="81">
        <v>0</v>
      </c>
      <c r="BE41" s="81">
        <v>0</v>
      </c>
      <c r="BF41" s="81">
        <v>0</v>
      </c>
    </row>
    <row r="42" spans="1:59" ht="14.25" customHeight="1" x14ac:dyDescent="0.2">
      <c r="A42" s="6"/>
      <c r="B42" s="7"/>
      <c r="C42" s="218" t="s">
        <v>47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9"/>
      <c r="AY42" s="8">
        <v>310</v>
      </c>
      <c r="AZ42" s="4"/>
      <c r="BA42" s="81">
        <f t="shared" si="6"/>
        <v>0</v>
      </c>
      <c r="BB42" s="81">
        <v>0</v>
      </c>
      <c r="BC42" s="81">
        <v>0</v>
      </c>
      <c r="BD42" s="81">
        <v>0</v>
      </c>
      <c r="BE42" s="81">
        <v>0</v>
      </c>
      <c r="BF42" s="81">
        <v>0</v>
      </c>
    </row>
    <row r="43" spans="1:59" ht="21.95" customHeight="1" x14ac:dyDescent="0.2">
      <c r="A43" s="154"/>
      <c r="B43" s="161"/>
      <c r="C43" s="218" t="s">
        <v>48</v>
      </c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9"/>
      <c r="AY43" s="8">
        <v>320</v>
      </c>
      <c r="AZ43" s="4"/>
      <c r="BA43" s="81">
        <f t="shared" si="6"/>
        <v>0</v>
      </c>
      <c r="BB43" s="81">
        <v>0</v>
      </c>
      <c r="BC43" s="81">
        <v>0</v>
      </c>
      <c r="BD43" s="81">
        <v>0</v>
      </c>
      <c r="BE43" s="81">
        <v>0</v>
      </c>
      <c r="BF43" s="81">
        <v>0</v>
      </c>
    </row>
    <row r="44" spans="1:59" ht="21.95" customHeight="1" x14ac:dyDescent="0.2">
      <c r="A44" s="154"/>
      <c r="B44" s="161"/>
      <c r="C44" s="218" t="s">
        <v>49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9"/>
      <c r="AY44" s="8">
        <v>400</v>
      </c>
      <c r="AZ44" s="4"/>
      <c r="BA44" s="81">
        <f t="shared" si="6"/>
        <v>0</v>
      </c>
      <c r="BB44" s="81">
        <v>0</v>
      </c>
      <c r="BC44" s="81">
        <v>0</v>
      </c>
      <c r="BD44" s="81">
        <v>0</v>
      </c>
      <c r="BE44" s="81">
        <v>0</v>
      </c>
      <c r="BF44" s="81">
        <v>0</v>
      </c>
    </row>
    <row r="45" spans="1:59" ht="12" customHeight="1" x14ac:dyDescent="0.2">
      <c r="A45" s="154"/>
      <c r="B45" s="161"/>
      <c r="C45" s="218" t="s">
        <v>50</v>
      </c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9"/>
      <c r="AY45" s="8">
        <v>410</v>
      </c>
      <c r="AZ45" s="4"/>
      <c r="BA45" s="81">
        <f t="shared" si="6"/>
        <v>0</v>
      </c>
      <c r="BB45" s="81">
        <v>0</v>
      </c>
      <c r="BC45" s="81">
        <v>0</v>
      </c>
      <c r="BD45" s="81">
        <v>0</v>
      </c>
      <c r="BE45" s="81">
        <v>0</v>
      </c>
      <c r="BF45" s="81">
        <v>0</v>
      </c>
    </row>
    <row r="46" spans="1:59" ht="11.1" customHeight="1" x14ac:dyDescent="0.2">
      <c r="A46" s="154"/>
      <c r="B46" s="161"/>
      <c r="C46" s="218" t="s">
        <v>51</v>
      </c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9"/>
      <c r="AY46" s="8">
        <v>420</v>
      </c>
      <c r="AZ46" s="4"/>
      <c r="BA46" s="81">
        <f t="shared" si="6"/>
        <v>0</v>
      </c>
      <c r="BB46" s="81">
        <v>0</v>
      </c>
      <c r="BC46" s="81">
        <v>0</v>
      </c>
      <c r="BD46" s="81">
        <v>0</v>
      </c>
      <c r="BE46" s="81">
        <v>0</v>
      </c>
      <c r="BF46" s="81">
        <v>0</v>
      </c>
    </row>
    <row r="47" spans="1:59" ht="10.5" customHeight="1" x14ac:dyDescent="0.2">
      <c r="A47" s="154"/>
      <c r="B47" s="271" t="s">
        <v>22</v>
      </c>
      <c r="C47" s="208" t="s">
        <v>11</v>
      </c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9"/>
      <c r="AY47" s="12" t="s">
        <v>23</v>
      </c>
      <c r="AZ47" s="13" t="s">
        <v>28</v>
      </c>
      <c r="BA47" s="84">
        <f>BB47+BC47+BD47+BE47</f>
        <v>0</v>
      </c>
      <c r="BB47" s="84">
        <v>0</v>
      </c>
      <c r="BC47" s="84">
        <v>0</v>
      </c>
      <c r="BD47" s="84">
        <v>0</v>
      </c>
      <c r="BE47" s="84">
        <v>0</v>
      </c>
      <c r="BF47" s="84">
        <v>0</v>
      </c>
    </row>
    <row r="48" spans="1:59" ht="42" customHeight="1" x14ac:dyDescent="0.2">
      <c r="A48" s="154"/>
      <c r="B48" s="272" t="s">
        <v>24</v>
      </c>
      <c r="C48" s="218" t="s">
        <v>11</v>
      </c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9"/>
      <c r="AY48" s="8" t="s">
        <v>25</v>
      </c>
      <c r="AZ48" s="4" t="s">
        <v>28</v>
      </c>
      <c r="BA48" s="81">
        <f>BB48+BC48+BD48+BF48</f>
        <v>0</v>
      </c>
      <c r="BB48" s="81">
        <v>0</v>
      </c>
      <c r="BC48" s="81">
        <v>0</v>
      </c>
      <c r="BD48" s="81">
        <v>0</v>
      </c>
      <c r="BE48" s="81">
        <v>0</v>
      </c>
      <c r="BF48" s="81">
        <v>0</v>
      </c>
    </row>
    <row r="49" spans="1:58" ht="10.15" customHeight="1" x14ac:dyDescent="0.2">
      <c r="A49" s="264" t="s">
        <v>57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BA49" s="14">
        <f>BA20-BA9-BA47</f>
        <v>0</v>
      </c>
      <c r="BB49" s="14">
        <f t="shared" ref="BB49:BF49" si="7">BB20-BB9-BB47</f>
        <v>0</v>
      </c>
      <c r="BC49" s="14">
        <f t="shared" si="7"/>
        <v>0</v>
      </c>
      <c r="BD49" s="14">
        <f t="shared" si="7"/>
        <v>0</v>
      </c>
      <c r="BE49" s="14">
        <f t="shared" si="7"/>
        <v>0</v>
      </c>
      <c r="BF49" s="14">
        <f t="shared" si="7"/>
        <v>0</v>
      </c>
    </row>
  </sheetData>
  <mergeCells count="53">
    <mergeCell ref="C46:AX46"/>
    <mergeCell ref="B48:AX48"/>
    <mergeCell ref="A49:AX49"/>
    <mergeCell ref="C39:AX39"/>
    <mergeCell ref="C42:AX42"/>
    <mergeCell ref="C43:AX43"/>
    <mergeCell ref="C44:AX44"/>
    <mergeCell ref="C45:AX45"/>
    <mergeCell ref="B47:AX47"/>
    <mergeCell ref="C37:AX37"/>
    <mergeCell ref="B38:AX38"/>
    <mergeCell ref="C40:AX40"/>
    <mergeCell ref="B41:AX41"/>
    <mergeCell ref="C36:AX36"/>
    <mergeCell ref="C25:AX25"/>
    <mergeCell ref="C28:AX28"/>
    <mergeCell ref="C29:AX29"/>
    <mergeCell ref="C30:AX30"/>
    <mergeCell ref="C33:AX33"/>
    <mergeCell ref="C34:AX34"/>
    <mergeCell ref="C35:AX35"/>
    <mergeCell ref="C26:AX26"/>
    <mergeCell ref="B27:AX27"/>
    <mergeCell ref="C31:AX31"/>
    <mergeCell ref="B32:AX32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3:AX23"/>
    <mergeCell ref="B22:AX22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</mergeCells>
  <pageMargins left="0.11811023622047245" right="0.11811023622047245" top="0" bottom="0" header="0.31496062992125984" footer="0.31496062992125984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2"/>
  <sheetViews>
    <sheetView view="pageBreakPreview" zoomScale="60" zoomScaleNormal="55" workbookViewId="0">
      <selection activeCell="M20" sqref="M20"/>
    </sheetView>
  </sheetViews>
  <sheetFormatPr defaultRowHeight="18" x14ac:dyDescent="0.25"/>
  <cols>
    <col min="1" max="1" width="36.140625" customWidth="1"/>
    <col min="4" max="4" width="18.140625" customWidth="1"/>
    <col min="5" max="5" width="20" customWidth="1"/>
    <col min="6" max="6" width="17.5703125" customWidth="1"/>
    <col min="7" max="7" width="18.7109375" customWidth="1"/>
    <col min="8" max="8" width="19" customWidth="1"/>
    <col min="9" max="9" width="17" customWidth="1"/>
    <col min="10" max="12" width="10.85546875" customWidth="1"/>
    <col min="13" max="13" width="92.28515625" style="79" customWidth="1"/>
  </cols>
  <sheetData>
    <row r="1" spans="1:13" ht="18.75" x14ac:dyDescent="0.3">
      <c r="A1" s="203" t="s">
        <v>98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3" ht="18.75" x14ac:dyDescent="0.3">
      <c r="A2" s="203" t="s">
        <v>99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3" ht="18.75" x14ac:dyDescent="0.3">
      <c r="A3" s="203" t="s">
        <v>215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3" ht="18.75" x14ac:dyDescent="0.3">
      <c r="A4" s="52"/>
    </row>
    <row r="5" spans="1:13" ht="18.75" x14ac:dyDescent="0.3">
      <c r="A5" s="52"/>
    </row>
    <row r="6" spans="1:13" ht="15.75" customHeight="1" x14ac:dyDescent="0.25">
      <c r="A6" s="273" t="s">
        <v>100</v>
      </c>
      <c r="B6" s="273" t="s">
        <v>101</v>
      </c>
      <c r="C6" s="273" t="s">
        <v>102</v>
      </c>
      <c r="D6" s="273" t="s">
        <v>103</v>
      </c>
      <c r="E6" s="273"/>
      <c r="F6" s="273"/>
      <c r="G6" s="273"/>
      <c r="H6" s="273"/>
      <c r="I6" s="273"/>
      <c r="J6" s="273"/>
      <c r="K6" s="273"/>
      <c r="L6" s="273"/>
    </row>
    <row r="7" spans="1:13" x14ac:dyDescent="0.25">
      <c r="A7" s="273"/>
      <c r="B7" s="273"/>
      <c r="C7" s="273"/>
      <c r="D7" s="273" t="s">
        <v>104</v>
      </c>
      <c r="E7" s="273"/>
      <c r="F7" s="273"/>
      <c r="G7" s="273"/>
      <c r="H7" s="273"/>
      <c r="I7" s="273"/>
      <c r="J7" s="273"/>
      <c r="K7" s="273"/>
      <c r="L7" s="273"/>
    </row>
    <row r="8" spans="1:13" x14ac:dyDescent="0.25">
      <c r="A8" s="273"/>
      <c r="B8" s="273"/>
      <c r="C8" s="273"/>
      <c r="D8" s="273" t="s">
        <v>105</v>
      </c>
      <c r="E8" s="273"/>
      <c r="F8" s="273"/>
      <c r="G8" s="273" t="s">
        <v>4</v>
      </c>
      <c r="H8" s="273"/>
      <c r="I8" s="273"/>
      <c r="J8" s="273"/>
      <c r="K8" s="273"/>
      <c r="L8" s="273"/>
    </row>
    <row r="9" spans="1:13" ht="102" customHeight="1" x14ac:dyDescent="0.25">
      <c r="A9" s="273"/>
      <c r="B9" s="273"/>
      <c r="C9" s="273"/>
      <c r="D9" s="273"/>
      <c r="E9" s="273"/>
      <c r="F9" s="273"/>
      <c r="G9" s="274" t="s">
        <v>106</v>
      </c>
      <c r="H9" s="274"/>
      <c r="I9" s="274"/>
      <c r="J9" s="274" t="s">
        <v>107</v>
      </c>
      <c r="K9" s="274"/>
      <c r="L9" s="274"/>
    </row>
    <row r="10" spans="1:13" ht="118.5" customHeight="1" x14ac:dyDescent="0.25">
      <c r="A10" s="273"/>
      <c r="B10" s="273"/>
      <c r="C10" s="273"/>
      <c r="D10" s="103" t="s">
        <v>216</v>
      </c>
      <c r="E10" s="103" t="s">
        <v>217</v>
      </c>
      <c r="F10" s="103" t="s">
        <v>218</v>
      </c>
      <c r="G10" s="103" t="s">
        <v>216</v>
      </c>
      <c r="H10" s="103" t="s">
        <v>217</v>
      </c>
      <c r="I10" s="103" t="s">
        <v>218</v>
      </c>
      <c r="J10" s="103" t="s">
        <v>216</v>
      </c>
      <c r="K10" s="103" t="s">
        <v>217</v>
      </c>
      <c r="L10" s="103" t="s">
        <v>218</v>
      </c>
      <c r="M10" s="79" t="s">
        <v>148</v>
      </c>
    </row>
    <row r="11" spans="1:13" x14ac:dyDescent="0.25">
      <c r="A11" s="62">
        <v>1</v>
      </c>
      <c r="B11" s="62">
        <v>2</v>
      </c>
      <c r="C11" s="62">
        <v>3</v>
      </c>
      <c r="D11" s="103">
        <v>4</v>
      </c>
      <c r="E11" s="62">
        <v>5</v>
      </c>
      <c r="F11" s="62">
        <v>6</v>
      </c>
      <c r="G11" s="62">
        <v>7</v>
      </c>
      <c r="H11" s="62">
        <v>8</v>
      </c>
      <c r="I11" s="62">
        <v>9</v>
      </c>
      <c r="J11" s="62">
        <v>10</v>
      </c>
      <c r="K11" s="62">
        <v>11</v>
      </c>
      <c r="L11" s="62">
        <v>12</v>
      </c>
    </row>
    <row r="12" spans="1:13" ht="36.75" customHeight="1" x14ac:dyDescent="0.25">
      <c r="A12" s="56" t="s">
        <v>108</v>
      </c>
      <c r="B12" s="63">
        <v>1</v>
      </c>
      <c r="C12" s="63" t="s">
        <v>109</v>
      </c>
      <c r="D12" s="85">
        <f>SUM(D14:D21)</f>
        <v>5238914.37</v>
      </c>
      <c r="E12" s="85">
        <f>E14+E15+E16+E17+E18+E19+E20+E21</f>
        <v>3611837</v>
      </c>
      <c r="F12" s="85">
        <f>F14+F15+F16+F17+F18+F19+F20+F21</f>
        <v>3611837</v>
      </c>
      <c r="G12" s="85">
        <f>SUM(G14:G21)</f>
        <v>5238914.37</v>
      </c>
      <c r="H12" s="85">
        <f>E12</f>
        <v>3611837</v>
      </c>
      <c r="I12" s="85">
        <f>F12</f>
        <v>3611837</v>
      </c>
      <c r="J12" s="85">
        <v>0</v>
      </c>
      <c r="K12" s="85">
        <v>0</v>
      </c>
      <c r="L12" s="85">
        <v>0</v>
      </c>
      <c r="M12" s="80"/>
    </row>
    <row r="13" spans="1:13" ht="72" customHeight="1" x14ac:dyDescent="0.25">
      <c r="A13" s="56" t="s">
        <v>110</v>
      </c>
      <c r="B13" s="63">
        <v>1001</v>
      </c>
      <c r="C13" s="63" t="s">
        <v>109</v>
      </c>
      <c r="D13" s="85"/>
      <c r="E13" s="85"/>
      <c r="F13" s="85"/>
      <c r="G13" s="85"/>
      <c r="H13" s="85"/>
      <c r="I13" s="85"/>
      <c r="J13" s="85"/>
      <c r="K13" s="85"/>
      <c r="L13" s="85"/>
      <c r="M13" s="87"/>
    </row>
    <row r="14" spans="1:13" s="31" customFormat="1" ht="23.25" customHeight="1" x14ac:dyDescent="0.25">
      <c r="A14" s="56" t="s">
        <v>139</v>
      </c>
      <c r="B14" s="63"/>
      <c r="C14" s="63"/>
      <c r="D14" s="85">
        <f>'3 с разбивкой утв'!BK87</f>
        <v>98438.36</v>
      </c>
      <c r="E14" s="85">
        <f>34000+44400</f>
        <v>78400</v>
      </c>
      <c r="F14" s="85">
        <f>34000+44400</f>
        <v>78400</v>
      </c>
      <c r="G14" s="85">
        <f t="shared" ref="G14:G21" si="0">D14</f>
        <v>98438.36</v>
      </c>
      <c r="H14" s="85">
        <f t="shared" ref="H14:I21" si="1">E14</f>
        <v>78400</v>
      </c>
      <c r="I14" s="85">
        <f t="shared" si="1"/>
        <v>78400</v>
      </c>
      <c r="J14" s="85">
        <v>0</v>
      </c>
      <c r="K14" s="85">
        <v>0</v>
      </c>
      <c r="L14" s="85">
        <v>0</v>
      </c>
      <c r="M14" s="87"/>
    </row>
    <row r="15" spans="1:13" s="31" customFormat="1" ht="36.75" customHeight="1" x14ac:dyDescent="0.25">
      <c r="A15" s="56" t="s">
        <v>147</v>
      </c>
      <c r="B15" s="63"/>
      <c r="C15" s="63"/>
      <c r="D15" s="85">
        <f>'3 с разбивкой утв'!BK88</f>
        <v>0</v>
      </c>
      <c r="E15" s="85">
        <v>0</v>
      </c>
      <c r="F15" s="85">
        <v>0</v>
      </c>
      <c r="G15" s="85">
        <f t="shared" si="0"/>
        <v>0</v>
      </c>
      <c r="H15" s="85">
        <f t="shared" si="1"/>
        <v>0</v>
      </c>
      <c r="I15" s="85">
        <f t="shared" si="1"/>
        <v>0</v>
      </c>
      <c r="J15" s="85">
        <v>0</v>
      </c>
      <c r="K15" s="85">
        <v>0</v>
      </c>
      <c r="L15" s="85">
        <v>0</v>
      </c>
      <c r="M15" s="87"/>
    </row>
    <row r="16" spans="1:13" s="31" customFormat="1" ht="36.75" customHeight="1" x14ac:dyDescent="0.25">
      <c r="A16" s="56" t="s">
        <v>140</v>
      </c>
      <c r="B16" s="63"/>
      <c r="C16" s="63"/>
      <c r="D16" s="85">
        <f>'3 с разбивкой утв'!BK89</f>
        <v>3018245.91</v>
      </c>
      <c r="E16" s="85">
        <f>135000+2047207</f>
        <v>2182207</v>
      </c>
      <c r="F16" s="85">
        <f>135000+2047207</f>
        <v>2182207</v>
      </c>
      <c r="G16" s="85">
        <f t="shared" si="0"/>
        <v>3018245.91</v>
      </c>
      <c r="H16" s="85">
        <f t="shared" si="1"/>
        <v>2182207</v>
      </c>
      <c r="I16" s="85">
        <f t="shared" si="1"/>
        <v>2182207</v>
      </c>
      <c r="J16" s="85">
        <v>0</v>
      </c>
      <c r="K16" s="85">
        <v>0</v>
      </c>
      <c r="L16" s="85">
        <v>0</v>
      </c>
      <c r="M16" s="87"/>
    </row>
    <row r="17" spans="1:13" s="31" customFormat="1" ht="39.75" customHeight="1" x14ac:dyDescent="0.25">
      <c r="A17" s="56" t="s">
        <v>141</v>
      </c>
      <c r="B17" s="63"/>
      <c r="C17" s="63"/>
      <c r="D17" s="85">
        <f>'3 с разбивкой утв'!BK90</f>
        <v>1083587.8400000001</v>
      </c>
      <c r="E17" s="85">
        <f>125000+302106</f>
        <v>427106</v>
      </c>
      <c r="F17" s="85">
        <f>125000+302106</f>
        <v>427106</v>
      </c>
      <c r="G17" s="85">
        <f t="shared" si="0"/>
        <v>1083587.8400000001</v>
      </c>
      <c r="H17" s="85">
        <f t="shared" si="1"/>
        <v>427106</v>
      </c>
      <c r="I17" s="85">
        <f t="shared" si="1"/>
        <v>427106</v>
      </c>
      <c r="J17" s="85">
        <v>0</v>
      </c>
      <c r="K17" s="85">
        <v>0</v>
      </c>
      <c r="L17" s="85">
        <v>0</v>
      </c>
      <c r="M17" s="87"/>
    </row>
    <row r="18" spans="1:13" s="31" customFormat="1" ht="37.5" customHeight="1" x14ac:dyDescent="0.25">
      <c r="A18" s="56" t="s">
        <v>142</v>
      </c>
      <c r="B18" s="63"/>
      <c r="C18" s="63"/>
      <c r="D18" s="85">
        <f>'3 с разбивкой утв'!BK91</f>
        <v>627185.1</v>
      </c>
      <c r="E18" s="85">
        <f>159000+434944+23684</f>
        <v>617628</v>
      </c>
      <c r="F18" s="85">
        <f>159000+434944+23684</f>
        <v>617628</v>
      </c>
      <c r="G18" s="85">
        <f t="shared" si="0"/>
        <v>627185.1</v>
      </c>
      <c r="H18" s="85">
        <f t="shared" si="1"/>
        <v>617628</v>
      </c>
      <c r="I18" s="85">
        <f t="shared" si="1"/>
        <v>617628</v>
      </c>
      <c r="J18" s="85">
        <v>0</v>
      </c>
      <c r="K18" s="85">
        <v>0</v>
      </c>
      <c r="L18" s="85">
        <v>0</v>
      </c>
      <c r="M18" s="87"/>
    </row>
    <row r="19" spans="1:13" s="31" customFormat="1" ht="24.75" customHeight="1" x14ac:dyDescent="0.25">
      <c r="A19" s="56" t="s">
        <v>143</v>
      </c>
      <c r="B19" s="63"/>
      <c r="C19" s="63"/>
      <c r="D19" s="85">
        <f>'3 с разбивкой утв'!BK92</f>
        <v>14206</v>
      </c>
      <c r="E19" s="85">
        <v>13696</v>
      </c>
      <c r="F19" s="85">
        <v>13696</v>
      </c>
      <c r="G19" s="85">
        <f t="shared" si="0"/>
        <v>14206</v>
      </c>
      <c r="H19" s="85">
        <f t="shared" si="1"/>
        <v>13696</v>
      </c>
      <c r="I19" s="85">
        <f t="shared" si="1"/>
        <v>13696</v>
      </c>
      <c r="J19" s="85">
        <v>0</v>
      </c>
      <c r="K19" s="85">
        <v>0</v>
      </c>
      <c r="L19" s="85">
        <v>0</v>
      </c>
      <c r="M19" s="87"/>
    </row>
    <row r="20" spans="1:13" s="31" customFormat="1" ht="34.5" customHeight="1" x14ac:dyDescent="0.25">
      <c r="A20" s="56" t="s">
        <v>144</v>
      </c>
      <c r="B20" s="63"/>
      <c r="C20" s="63"/>
      <c r="D20" s="85">
        <f>'3 с разбивкой утв'!BK93</f>
        <v>114921.3</v>
      </c>
      <c r="E20" s="85">
        <f>50000</f>
        <v>50000</v>
      </c>
      <c r="F20" s="85">
        <f>50000</f>
        <v>50000</v>
      </c>
      <c r="G20" s="85">
        <f t="shared" si="0"/>
        <v>114921.3</v>
      </c>
      <c r="H20" s="85">
        <f t="shared" si="1"/>
        <v>50000</v>
      </c>
      <c r="I20" s="85">
        <f t="shared" si="1"/>
        <v>50000</v>
      </c>
      <c r="J20" s="85">
        <v>0</v>
      </c>
      <c r="K20" s="85">
        <v>0</v>
      </c>
      <c r="L20" s="85">
        <v>0</v>
      </c>
      <c r="M20" s="87"/>
    </row>
    <row r="21" spans="1:13" ht="57" customHeight="1" x14ac:dyDescent="0.25">
      <c r="A21" s="56" t="s">
        <v>145</v>
      </c>
      <c r="B21" s="56"/>
      <c r="C21" s="56"/>
      <c r="D21" s="76">
        <f>'3 с разбивкой утв'!BK94</f>
        <v>282329.86</v>
      </c>
      <c r="E21" s="76">
        <f>86000+156800</f>
        <v>242800</v>
      </c>
      <c r="F21" s="76">
        <f>86000+156800</f>
        <v>242800</v>
      </c>
      <c r="G21" s="76">
        <f t="shared" si="0"/>
        <v>282329.86</v>
      </c>
      <c r="H21" s="76">
        <f t="shared" si="1"/>
        <v>242800</v>
      </c>
      <c r="I21" s="76">
        <f t="shared" si="1"/>
        <v>242800</v>
      </c>
      <c r="J21" s="76">
        <v>0</v>
      </c>
      <c r="K21" s="76">
        <v>0</v>
      </c>
      <c r="L21" s="76">
        <v>0</v>
      </c>
      <c r="M21" s="87"/>
    </row>
    <row r="22" spans="1:13" ht="33.75" customHeight="1" x14ac:dyDescent="0.25">
      <c r="A22" s="56" t="s">
        <v>111</v>
      </c>
      <c r="B22" s="63">
        <v>2001</v>
      </c>
      <c r="C22" s="56"/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1:13" x14ac:dyDescent="0.25">
      <c r="A23" s="56"/>
      <c r="B23" s="56"/>
      <c r="C23" s="56"/>
      <c r="D23" s="76"/>
      <c r="E23" s="76"/>
      <c r="F23" s="76"/>
      <c r="G23" s="76"/>
      <c r="H23" s="76"/>
      <c r="I23" s="76"/>
      <c r="J23" s="76"/>
      <c r="K23" s="76"/>
      <c r="L23" s="76"/>
    </row>
    <row r="24" spans="1:13" ht="18.75" customHeight="1" x14ac:dyDescent="0.3">
      <c r="A24" s="61"/>
      <c r="D24" s="88">
        <f>'3 с разбивкой утв'!BA58-'4'!D12</f>
        <v>0</v>
      </c>
      <c r="E24" s="90">
        <f>'3 (2)'!BA38-'4'!E12</f>
        <v>0</v>
      </c>
      <c r="F24" s="90">
        <f>'3 (3)'!BA38-'4'!F12</f>
        <v>0</v>
      </c>
    </row>
    <row r="25" spans="1:13" x14ac:dyDescent="0.25">
      <c r="E25" s="89"/>
      <c r="F25" s="89"/>
    </row>
    <row r="26" spans="1:13" x14ac:dyDescent="0.25">
      <c r="E26" s="89"/>
      <c r="F26" s="89"/>
    </row>
    <row r="27" spans="1:13" x14ac:dyDescent="0.25">
      <c r="E27" s="89"/>
      <c r="F27" s="89"/>
    </row>
    <row r="28" spans="1:13" x14ac:dyDescent="0.25">
      <c r="E28" s="89"/>
      <c r="F28" s="89"/>
    </row>
    <row r="29" spans="1:13" x14ac:dyDescent="0.25">
      <c r="E29" s="89"/>
      <c r="F29" s="89"/>
    </row>
    <row r="30" spans="1:13" x14ac:dyDescent="0.25">
      <c r="E30" s="89"/>
      <c r="F30" s="89"/>
    </row>
    <row r="31" spans="1:13" x14ac:dyDescent="0.25">
      <c r="E31" s="89"/>
      <c r="F31" s="89"/>
    </row>
    <row r="32" spans="1:13" x14ac:dyDescent="0.25">
      <c r="E32" s="89"/>
      <c r="F32" s="89"/>
    </row>
  </sheetData>
  <mergeCells count="12">
    <mergeCell ref="A1:L1"/>
    <mergeCell ref="A2:L2"/>
    <mergeCell ref="A3:L3"/>
    <mergeCell ref="A6:A10"/>
    <mergeCell ref="B6:B10"/>
    <mergeCell ref="C6:C10"/>
    <mergeCell ref="D6:L6"/>
    <mergeCell ref="D7:L7"/>
    <mergeCell ref="D8:F9"/>
    <mergeCell ref="G8:L8"/>
    <mergeCell ref="G9:I9"/>
    <mergeCell ref="J9:L9"/>
  </mergeCells>
  <hyperlinks>
    <hyperlink ref="G9" r:id="rId1" display="consultantplus://offline/ref=1A76FB31CD1BC4C47AEA138B865FC4B9B49631E0A552132101E0C8457Cy1nFD"/>
    <hyperlink ref="J9" r:id="rId2" display="consultantplus://offline/ref=1A76FB31CD1BC4C47AEA138B865FC4B9B49733E5A256132101E0C8457Cy1nFD"/>
  </hyperlinks>
  <pageMargins left="0.24" right="0.16" top="0.55118110236220474" bottom="0.19" header="0.54" footer="0.15"/>
  <pageSetup paperSize="9" scale="66" orientation="landscape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7"/>
  <sheetViews>
    <sheetView tabSelected="1" view="pageBreakPreview" topLeftCell="A7" zoomScale="73" zoomScaleNormal="100" zoomScaleSheetLayoutView="73" workbookViewId="0">
      <selection activeCell="I28" sqref="I28"/>
    </sheetView>
  </sheetViews>
  <sheetFormatPr defaultRowHeight="12.75" x14ac:dyDescent="0.2"/>
  <cols>
    <col min="1" max="1" width="48" customWidth="1"/>
    <col min="2" max="2" width="12" customWidth="1"/>
    <col min="3" max="3" width="24.7109375" customWidth="1"/>
  </cols>
  <sheetData>
    <row r="1" spans="1:4" ht="18.75" x14ac:dyDescent="0.3">
      <c r="A1" s="203" t="s">
        <v>112</v>
      </c>
      <c r="B1" s="203"/>
      <c r="C1" s="203"/>
    </row>
    <row r="2" spans="1:4" ht="18.75" x14ac:dyDescent="0.3">
      <c r="A2" s="203" t="s">
        <v>113</v>
      </c>
      <c r="B2" s="203"/>
      <c r="C2" s="203"/>
      <c r="D2" s="9" t="s">
        <v>149</v>
      </c>
    </row>
    <row r="3" spans="1:4" ht="18.75" x14ac:dyDescent="0.3">
      <c r="A3" s="203" t="s">
        <v>219</v>
      </c>
      <c r="B3" s="203"/>
      <c r="C3" s="203"/>
    </row>
    <row r="4" spans="1:4" ht="18.75" x14ac:dyDescent="0.3">
      <c r="A4" s="203" t="s">
        <v>114</v>
      </c>
      <c r="B4" s="203"/>
      <c r="C4" s="203"/>
    </row>
    <row r="5" spans="1:4" ht="18.75" x14ac:dyDescent="0.3">
      <c r="A5" s="61"/>
    </row>
    <row r="6" spans="1:4" ht="15.75" x14ac:dyDescent="0.2">
      <c r="A6" s="273" t="s">
        <v>0</v>
      </c>
      <c r="B6" s="273" t="s">
        <v>1</v>
      </c>
      <c r="C6" s="62" t="s">
        <v>115</v>
      </c>
    </row>
    <row r="7" spans="1:4" ht="50.25" customHeight="1" x14ac:dyDescent="0.2">
      <c r="A7" s="273"/>
      <c r="B7" s="273"/>
      <c r="C7" s="62" t="s">
        <v>116</v>
      </c>
    </row>
    <row r="8" spans="1:4" ht="15.75" x14ac:dyDescent="0.2">
      <c r="A8" s="62">
        <v>1</v>
      </c>
      <c r="B8" s="62">
        <v>2</v>
      </c>
      <c r="C8" s="62">
        <v>3</v>
      </c>
    </row>
    <row r="9" spans="1:4" ht="27" customHeight="1" x14ac:dyDescent="0.2">
      <c r="A9" s="56" t="s">
        <v>22</v>
      </c>
      <c r="B9" s="62">
        <v>10</v>
      </c>
      <c r="C9" s="76">
        <v>0</v>
      </c>
    </row>
    <row r="10" spans="1:4" ht="27" customHeight="1" x14ac:dyDescent="0.2">
      <c r="A10" s="56" t="s">
        <v>24</v>
      </c>
      <c r="B10" s="62">
        <v>20</v>
      </c>
      <c r="C10" s="76">
        <v>0</v>
      </c>
    </row>
    <row r="11" spans="1:4" ht="27" customHeight="1" x14ac:dyDescent="0.2">
      <c r="A11" s="56" t="s">
        <v>117</v>
      </c>
      <c r="B11" s="62">
        <v>30</v>
      </c>
      <c r="C11" s="76">
        <v>0</v>
      </c>
    </row>
    <row r="12" spans="1:4" ht="27" customHeight="1" x14ac:dyDescent="0.2">
      <c r="A12" s="56"/>
      <c r="B12" s="56"/>
      <c r="C12" s="76"/>
    </row>
    <row r="13" spans="1:4" ht="27" customHeight="1" x14ac:dyDescent="0.2">
      <c r="A13" s="56" t="s">
        <v>118</v>
      </c>
      <c r="B13" s="62">
        <v>40</v>
      </c>
      <c r="C13" s="76">
        <v>0</v>
      </c>
    </row>
    <row r="14" spans="1:4" ht="15.75" x14ac:dyDescent="0.2">
      <c r="A14" s="56"/>
      <c r="B14" s="56"/>
      <c r="C14" s="76"/>
    </row>
    <row r="15" spans="1:4" ht="18.75" x14ac:dyDescent="0.3">
      <c r="A15" s="61"/>
    </row>
    <row r="16" spans="1:4" ht="11.25" customHeight="1" x14ac:dyDescent="0.3">
      <c r="A16" s="61"/>
    </row>
    <row r="17" spans="1:3" ht="11.25" customHeight="1" x14ac:dyDescent="0.3">
      <c r="A17" s="64"/>
    </row>
    <row r="18" spans="1:3" ht="18.75" x14ac:dyDescent="0.3">
      <c r="A18" s="203" t="s">
        <v>119</v>
      </c>
      <c r="B18" s="203"/>
      <c r="C18" s="203"/>
    </row>
    <row r="19" spans="1:3" ht="12.75" customHeight="1" x14ac:dyDescent="0.3">
      <c r="A19" s="53"/>
    </row>
    <row r="20" spans="1:3" ht="30.75" customHeight="1" x14ac:dyDescent="0.2">
      <c r="A20" s="273" t="s">
        <v>0</v>
      </c>
      <c r="B20" s="273" t="s">
        <v>1</v>
      </c>
      <c r="C20" s="62" t="s">
        <v>120</v>
      </c>
    </row>
    <row r="21" spans="1:3" ht="15.75" x14ac:dyDescent="0.2">
      <c r="A21" s="273"/>
      <c r="B21" s="273"/>
      <c r="C21" s="62" t="s">
        <v>121</v>
      </c>
    </row>
    <row r="22" spans="1:3" ht="15.75" x14ac:dyDescent="0.2">
      <c r="A22" s="62">
        <v>1</v>
      </c>
      <c r="B22" s="62">
        <v>2</v>
      </c>
      <c r="C22" s="62">
        <v>3</v>
      </c>
    </row>
    <row r="23" spans="1:3" ht="15.75" x14ac:dyDescent="0.2">
      <c r="A23" s="56" t="s">
        <v>122</v>
      </c>
      <c r="B23" s="62">
        <v>10</v>
      </c>
      <c r="C23" s="76">
        <v>0</v>
      </c>
    </row>
    <row r="24" spans="1:3" ht="90" customHeight="1" x14ac:dyDescent="0.2">
      <c r="A24" s="71" t="s">
        <v>123</v>
      </c>
      <c r="B24" s="62">
        <v>20</v>
      </c>
      <c r="C24" s="76">
        <v>0</v>
      </c>
    </row>
    <row r="25" spans="1:3" ht="18.75" x14ac:dyDescent="0.3">
      <c r="A25" s="64"/>
    </row>
    <row r="26" spans="1:3" s="66" customFormat="1" ht="19.5" customHeight="1" x14ac:dyDescent="0.2">
      <c r="A26" s="69" t="s">
        <v>125</v>
      </c>
    </row>
    <row r="27" spans="1:3" s="66" customFormat="1" ht="19.5" customHeight="1" x14ac:dyDescent="0.2">
      <c r="A27" s="68" t="s">
        <v>124</v>
      </c>
    </row>
    <row r="28" spans="1:3" s="66" customFormat="1" ht="15.75" x14ac:dyDescent="0.2">
      <c r="A28" s="67" t="s">
        <v>126</v>
      </c>
      <c r="B28" s="78" t="s">
        <v>135</v>
      </c>
      <c r="C28" s="78" t="s">
        <v>135</v>
      </c>
    </row>
    <row r="29" spans="1:3" s="66" customFormat="1" ht="21" customHeight="1" x14ac:dyDescent="0.2">
      <c r="A29" s="67"/>
      <c r="B29" s="67" t="s">
        <v>127</v>
      </c>
      <c r="C29" s="67" t="s">
        <v>128</v>
      </c>
    </row>
    <row r="30" spans="1:3" s="66" customFormat="1" ht="10.5" customHeight="1" x14ac:dyDescent="0.2">
      <c r="A30" s="67"/>
    </row>
    <row r="31" spans="1:3" ht="15.75" x14ac:dyDescent="0.25">
      <c r="A31" s="65" t="s">
        <v>205</v>
      </c>
      <c r="B31" s="70"/>
      <c r="C31" s="77" t="s">
        <v>206</v>
      </c>
    </row>
    <row r="32" spans="1:3" ht="16.5" customHeight="1" x14ac:dyDescent="0.25">
      <c r="A32" s="65"/>
      <c r="B32" s="67" t="s">
        <v>127</v>
      </c>
      <c r="C32" s="67" t="s">
        <v>128</v>
      </c>
    </row>
    <row r="33" spans="1:3" ht="15.75" x14ac:dyDescent="0.25">
      <c r="A33" s="65"/>
    </row>
    <row r="34" spans="1:3" ht="15.75" x14ac:dyDescent="0.25">
      <c r="A34" s="65" t="s">
        <v>129</v>
      </c>
      <c r="B34" s="70"/>
      <c r="C34" s="77" t="s">
        <v>206</v>
      </c>
    </row>
    <row r="35" spans="1:3" ht="18.75" customHeight="1" x14ac:dyDescent="0.25">
      <c r="A35" s="65" t="s">
        <v>209</v>
      </c>
      <c r="B35" s="67" t="s">
        <v>127</v>
      </c>
      <c r="C35" s="67" t="s">
        <v>128</v>
      </c>
    </row>
    <row r="36" spans="1:3" ht="15.75" x14ac:dyDescent="0.25">
      <c r="A36" s="65"/>
    </row>
    <row r="37" spans="1:3" ht="26.25" customHeight="1" x14ac:dyDescent="0.25">
      <c r="A37" s="65" t="s">
        <v>189</v>
      </c>
    </row>
  </sheetData>
  <mergeCells count="9">
    <mergeCell ref="A6:A7"/>
    <mergeCell ref="B6:B7"/>
    <mergeCell ref="A20:A21"/>
    <mergeCell ref="B20:B21"/>
    <mergeCell ref="A1:C1"/>
    <mergeCell ref="A2:C2"/>
    <mergeCell ref="A3:C3"/>
    <mergeCell ref="A4:C4"/>
    <mergeCell ref="A18:C18"/>
  </mergeCells>
  <hyperlinks>
    <hyperlink ref="A24" r:id="rId1" display="consultantplus://offline/ref=1A76FB31CD1BC4C47AEA138B865FC4B9B49731E0A350132101E0C8457Cy1nFD"/>
  </hyperlinks>
  <pageMargins left="0.70866141732283472" right="0.70866141732283472" top="0.74803149606299213" bottom="0.74803149606299213" header="0.31496062992125984" footer="0.31496062992125984"/>
  <pageSetup paperSize="9" scale="95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32"/>
  <sheetViews>
    <sheetView topLeftCell="A85" zoomScale="84" zoomScaleNormal="84" zoomScaleSheetLayoutView="100" workbookViewId="0">
      <selection activeCell="A85" sqref="A1:XFD1048576"/>
    </sheetView>
  </sheetViews>
  <sheetFormatPr defaultRowHeight="10.15" customHeight="1" x14ac:dyDescent="0.2"/>
  <cols>
    <col min="1" max="15" width="0.28515625" style="9" customWidth="1"/>
    <col min="16" max="16" width="0.7109375" style="9" customWidth="1"/>
    <col min="17" max="22" width="0.28515625" style="9" customWidth="1"/>
    <col min="23" max="23" width="0.28515625" style="9" hidden="1" customWidth="1"/>
    <col min="24" max="49" width="0.28515625" style="9" customWidth="1"/>
    <col min="50" max="50" width="10.5703125" style="9" customWidth="1"/>
    <col min="51" max="51" width="6.7109375" style="9" customWidth="1"/>
    <col min="52" max="52" width="8.7109375" style="9" customWidth="1"/>
    <col min="53" max="53" width="16.5703125" style="9" customWidth="1"/>
    <col min="54" max="54" width="15.42578125" style="9" customWidth="1"/>
    <col min="55" max="55" width="15.140625" style="9" customWidth="1"/>
    <col min="56" max="56" width="12.140625" style="9" customWidth="1"/>
    <col min="57" max="57" width="14.85546875" style="9" customWidth="1"/>
    <col min="58" max="58" width="9.7109375" style="9" customWidth="1"/>
    <col min="59" max="59" width="15.140625" style="82" customWidth="1"/>
    <col min="60" max="60" width="14.5703125" style="9" bestFit="1" customWidth="1"/>
    <col min="61" max="61" width="14.7109375" style="9" customWidth="1"/>
    <col min="62" max="62" width="14.140625" style="9" customWidth="1"/>
    <col min="63" max="63" width="15.85546875" style="9" bestFit="1" customWidth="1"/>
    <col min="64" max="64" width="11.7109375" style="9" bestFit="1" customWidth="1"/>
    <col min="65" max="16384" width="9.140625" style="9"/>
  </cols>
  <sheetData>
    <row r="1" spans="1:63" ht="12.75" x14ac:dyDescent="0.2"/>
    <row r="2" spans="1:63" ht="21" customHeight="1" x14ac:dyDescent="0.2">
      <c r="A2" s="227" t="s">
        <v>213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</row>
    <row r="3" spans="1:63" ht="12.75" x14ac:dyDescent="0.2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"/>
      <c r="BD3" s="1"/>
      <c r="BE3" s="1"/>
      <c r="BF3" s="1"/>
    </row>
    <row r="4" spans="1:63" ht="12.75" customHeight="1" x14ac:dyDescent="0.2">
      <c r="A4" s="234" t="s">
        <v>0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6"/>
      <c r="AY4" s="243" t="s">
        <v>1</v>
      </c>
      <c r="AZ4" s="246" t="s">
        <v>2</v>
      </c>
      <c r="BA4" s="228" t="s">
        <v>3</v>
      </c>
      <c r="BB4" s="229"/>
      <c r="BC4" s="229"/>
      <c r="BD4" s="229"/>
      <c r="BE4" s="229"/>
      <c r="BF4" s="229"/>
    </row>
    <row r="5" spans="1:63" ht="12.75" customHeight="1" x14ac:dyDescent="0.2">
      <c r="A5" s="237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9"/>
      <c r="AY5" s="244"/>
      <c r="AZ5" s="232"/>
      <c r="BA5" s="232" t="s">
        <v>26</v>
      </c>
      <c r="BB5" s="245" t="s">
        <v>4</v>
      </c>
      <c r="BC5" s="245"/>
      <c r="BD5" s="245"/>
      <c r="BE5" s="245"/>
      <c r="BF5" s="245"/>
    </row>
    <row r="6" spans="1:63" ht="61.5" customHeight="1" x14ac:dyDescent="0.2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9"/>
      <c r="AY6" s="244"/>
      <c r="AZ6" s="232"/>
      <c r="BA6" s="232"/>
      <c r="BB6" s="231" t="s">
        <v>5</v>
      </c>
      <c r="BC6" s="231" t="s">
        <v>6</v>
      </c>
      <c r="BD6" s="231" t="s">
        <v>7</v>
      </c>
      <c r="BE6" s="231" t="s">
        <v>8</v>
      </c>
      <c r="BF6" s="231"/>
    </row>
    <row r="7" spans="1:63" ht="30" customHeight="1" x14ac:dyDescent="0.2">
      <c r="A7" s="240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2"/>
      <c r="AY7" s="245"/>
      <c r="AZ7" s="233"/>
      <c r="BA7" s="233"/>
      <c r="BB7" s="231"/>
      <c r="BC7" s="231"/>
      <c r="BD7" s="231"/>
      <c r="BE7" s="155" t="s">
        <v>9</v>
      </c>
      <c r="BF7" s="136" t="s">
        <v>10</v>
      </c>
      <c r="BG7" s="120">
        <f>BA9+BA117-BA30</f>
        <v>0</v>
      </c>
      <c r="BK7" s="9" t="s">
        <v>136</v>
      </c>
    </row>
    <row r="8" spans="1:63" ht="11.1" customHeight="1" x14ac:dyDescent="0.2">
      <c r="A8" s="228">
        <v>1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30"/>
      <c r="AY8" s="2">
        <v>2</v>
      </c>
      <c r="AZ8" s="72">
        <v>3</v>
      </c>
      <c r="BA8" s="72">
        <v>4</v>
      </c>
      <c r="BB8" s="137">
        <v>5</v>
      </c>
      <c r="BC8" s="137">
        <v>6</v>
      </c>
      <c r="BD8" s="137">
        <v>7</v>
      </c>
      <c r="BE8" s="155">
        <v>8</v>
      </c>
      <c r="BF8" s="136">
        <v>9</v>
      </c>
    </row>
    <row r="9" spans="1:63" ht="23.25" customHeight="1" x14ac:dyDescent="0.2">
      <c r="A9" s="3"/>
      <c r="B9" s="247" t="s">
        <v>27</v>
      </c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8"/>
      <c r="AY9" s="11">
        <v>100</v>
      </c>
      <c r="AZ9" s="73" t="s">
        <v>28</v>
      </c>
      <c r="BA9" s="144">
        <f>BA10+BA12+BA18+BA19+BA20+BA25+BA28+BA17</f>
        <v>21564061.199999999</v>
      </c>
      <c r="BB9" s="144">
        <f>BB12</f>
        <v>18929880</v>
      </c>
      <c r="BC9" s="144">
        <f>BC20</f>
        <v>1417862</v>
      </c>
      <c r="BD9" s="144">
        <f>BD20</f>
        <v>0</v>
      </c>
      <c r="BE9" s="144">
        <f>BE10+BE12+BE18+BE19+BE25+BE28+BE17</f>
        <v>1216319.2</v>
      </c>
      <c r="BF9" s="144">
        <f>BF12+BF25</f>
        <v>0</v>
      </c>
      <c r="BG9" s="104"/>
    </row>
    <row r="10" spans="1:63" ht="21.75" customHeight="1" x14ac:dyDescent="0.2">
      <c r="A10" s="5"/>
      <c r="B10" s="218" t="s">
        <v>52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9"/>
      <c r="AY10" s="8">
        <v>110</v>
      </c>
      <c r="AZ10" s="73" t="s">
        <v>237</v>
      </c>
      <c r="BA10" s="145">
        <f>BE10</f>
        <v>156319.20000000001</v>
      </c>
      <c r="BB10" s="146" t="s">
        <v>28</v>
      </c>
      <c r="BC10" s="146" t="s">
        <v>28</v>
      </c>
      <c r="BD10" s="146" t="s">
        <v>28</v>
      </c>
      <c r="BE10" s="146">
        <f>162000-5680.8</f>
        <v>156319.20000000001</v>
      </c>
      <c r="BF10" s="146" t="s">
        <v>28</v>
      </c>
      <c r="BG10" s="82" t="s">
        <v>159</v>
      </c>
    </row>
    <row r="11" spans="1:63" ht="13.5" customHeight="1" x14ac:dyDescent="0.2">
      <c r="A11" s="5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9"/>
      <c r="AY11" s="8"/>
      <c r="AZ11" s="73"/>
      <c r="BA11" s="145"/>
      <c r="BB11" s="146"/>
      <c r="BC11" s="146"/>
      <c r="BD11" s="146"/>
      <c r="BE11" s="146"/>
      <c r="BF11" s="146"/>
    </row>
    <row r="12" spans="1:63" ht="12.75" x14ac:dyDescent="0.2">
      <c r="A12" s="5"/>
      <c r="B12" s="218" t="s">
        <v>32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9"/>
      <c r="AY12" s="8">
        <v>120</v>
      </c>
      <c r="AZ12" s="73" t="s">
        <v>238</v>
      </c>
      <c r="BA12" s="145">
        <f>BB12+BE12+BF12</f>
        <v>19829880</v>
      </c>
      <c r="BB12" s="146">
        <f>SUM(BB13:BB16)</f>
        <v>18929880</v>
      </c>
      <c r="BC12" s="146" t="s">
        <v>28</v>
      </c>
      <c r="BD12" s="146" t="s">
        <v>28</v>
      </c>
      <c r="BE12" s="146">
        <f>SUM(BE13:BE16)</f>
        <v>900000</v>
      </c>
      <c r="BF12" s="146">
        <v>0</v>
      </c>
      <c r="BG12" s="82" t="s">
        <v>36</v>
      </c>
    </row>
    <row r="13" spans="1:63" s="92" customFormat="1" ht="72.75" customHeight="1" x14ac:dyDescent="0.2">
      <c r="A13" s="249" t="s">
        <v>153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1"/>
      <c r="AY13" s="105"/>
      <c r="AZ13" s="106" t="s">
        <v>155</v>
      </c>
      <c r="BA13" s="147"/>
      <c r="BB13" s="147">
        <f>16907880+358000</f>
        <v>17265880</v>
      </c>
      <c r="BC13" s="147"/>
      <c r="BD13" s="147"/>
      <c r="BE13" s="147"/>
      <c r="BF13" s="147"/>
      <c r="BG13" s="205" t="s">
        <v>152</v>
      </c>
    </row>
    <row r="14" spans="1:63" s="92" customFormat="1" ht="66.75" customHeight="1" x14ac:dyDescent="0.2">
      <c r="A14" s="249" t="s">
        <v>154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1"/>
      <c r="AY14" s="105"/>
      <c r="AZ14" s="106" t="s">
        <v>156</v>
      </c>
      <c r="BA14" s="147"/>
      <c r="BB14" s="147">
        <f>1664000</f>
        <v>1664000</v>
      </c>
      <c r="BC14" s="147"/>
      <c r="BD14" s="147"/>
      <c r="BE14" s="147"/>
      <c r="BF14" s="147"/>
      <c r="BG14" s="205"/>
    </row>
    <row r="15" spans="1:63" s="92" customFormat="1" ht="16.5" customHeight="1" x14ac:dyDescent="0.2">
      <c r="A15" s="250" t="s">
        <v>226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2"/>
      <c r="AY15" s="105"/>
      <c r="AZ15" s="106" t="s">
        <v>155</v>
      </c>
      <c r="BA15" s="147"/>
      <c r="BB15" s="147"/>
      <c r="BC15" s="147"/>
      <c r="BD15" s="147"/>
      <c r="BE15" s="147"/>
      <c r="BF15" s="147"/>
      <c r="BG15" s="205"/>
    </row>
    <row r="16" spans="1:63" s="92" customFormat="1" ht="71.25" customHeight="1" x14ac:dyDescent="0.2">
      <c r="A16" s="249" t="s">
        <v>158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1"/>
      <c r="AY16" s="105"/>
      <c r="AZ16" s="106" t="s">
        <v>157</v>
      </c>
      <c r="BA16" s="147"/>
      <c r="BB16" s="147"/>
      <c r="BC16" s="147"/>
      <c r="BD16" s="147"/>
      <c r="BE16" s="147">
        <f>700000+100000+100000</f>
        <v>900000</v>
      </c>
      <c r="BF16" s="147"/>
      <c r="BG16" s="205"/>
    </row>
    <row r="17" spans="1:59" s="130" customFormat="1" ht="30" customHeight="1" x14ac:dyDescent="0.2">
      <c r="A17" s="215" t="s">
        <v>242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7"/>
      <c r="AY17" s="162">
        <v>130</v>
      </c>
      <c r="AZ17" s="73" t="s">
        <v>244</v>
      </c>
      <c r="BA17" s="145">
        <f>BE17</f>
        <v>100000</v>
      </c>
      <c r="BB17" s="148"/>
      <c r="BC17" s="148"/>
      <c r="BD17" s="148"/>
      <c r="BE17" s="148">
        <f>100000</f>
        <v>100000</v>
      </c>
      <c r="BF17" s="148"/>
      <c r="BG17" s="163"/>
    </row>
    <row r="18" spans="1:59" ht="30" customHeight="1" x14ac:dyDescent="0.2">
      <c r="A18" s="5"/>
      <c r="B18" s="218" t="s">
        <v>31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8">
        <v>140</v>
      </c>
      <c r="AZ18" s="73" t="s">
        <v>239</v>
      </c>
      <c r="BA18" s="145">
        <f>BE18</f>
        <v>60000</v>
      </c>
      <c r="BB18" s="146" t="s">
        <v>28</v>
      </c>
      <c r="BC18" s="146" t="s">
        <v>28</v>
      </c>
      <c r="BD18" s="146" t="s">
        <v>28</v>
      </c>
      <c r="BE18" s="148">
        <f>60000</f>
        <v>60000</v>
      </c>
      <c r="BF18" s="146" t="s">
        <v>28</v>
      </c>
      <c r="BG18" s="82" t="s">
        <v>199</v>
      </c>
    </row>
    <row r="19" spans="1:59" ht="12.75" x14ac:dyDescent="0.2">
      <c r="A19" s="5"/>
      <c r="B19" s="218" t="s">
        <v>30</v>
      </c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9"/>
      <c r="AY19" s="8">
        <v>150</v>
      </c>
      <c r="AZ19" s="73" t="s">
        <v>37</v>
      </c>
      <c r="BA19" s="145">
        <f>BE19</f>
        <v>0</v>
      </c>
      <c r="BB19" s="146" t="s">
        <v>28</v>
      </c>
      <c r="BC19" s="146" t="s">
        <v>28</v>
      </c>
      <c r="BD19" s="146" t="s">
        <v>28</v>
      </c>
      <c r="BE19" s="146">
        <v>0</v>
      </c>
      <c r="BF19" s="146" t="s">
        <v>28</v>
      </c>
    </row>
    <row r="20" spans="1:59" ht="27" customHeight="1" x14ac:dyDescent="0.2">
      <c r="A20" s="5"/>
      <c r="B20" s="218" t="s">
        <v>33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9"/>
      <c r="AY20" s="8">
        <v>160</v>
      </c>
      <c r="AZ20" s="73" t="s">
        <v>240</v>
      </c>
      <c r="BA20" s="145">
        <f>BC20+BD20</f>
        <v>1417862</v>
      </c>
      <c r="BB20" s="146" t="s">
        <v>28</v>
      </c>
      <c r="BC20" s="146">
        <f>SUM(BC21:BC24)</f>
        <v>1417862</v>
      </c>
      <c r="BD20" s="146">
        <v>0</v>
      </c>
      <c r="BE20" s="146" t="s">
        <v>28</v>
      </c>
      <c r="BF20" s="146" t="s">
        <v>28</v>
      </c>
      <c r="BG20" s="82" t="s">
        <v>38</v>
      </c>
    </row>
    <row r="21" spans="1:59" s="92" customFormat="1" ht="12.75" x14ac:dyDescent="0.2">
      <c r="A21" s="249" t="s">
        <v>176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1"/>
      <c r="AY21" s="105"/>
      <c r="AZ21" s="106" t="s">
        <v>177</v>
      </c>
      <c r="BA21" s="147"/>
      <c r="BB21" s="147"/>
      <c r="BC21" s="147">
        <f>15000+2482</f>
        <v>17482</v>
      </c>
      <c r="BD21" s="147"/>
      <c r="BE21" s="147"/>
      <c r="BF21" s="147"/>
      <c r="BG21" s="82"/>
    </row>
    <row r="22" spans="1:59" s="92" customFormat="1" ht="12.75" x14ac:dyDescent="0.2">
      <c r="A22" s="249" t="s">
        <v>194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1"/>
      <c r="AY22" s="105"/>
      <c r="AZ22" s="106" t="s">
        <v>193</v>
      </c>
      <c r="BA22" s="147"/>
      <c r="BB22" s="147"/>
      <c r="BC22" s="147">
        <f>37380</f>
        <v>37380</v>
      </c>
      <c r="BD22" s="147"/>
      <c r="BE22" s="147"/>
      <c r="BF22" s="147"/>
      <c r="BG22" s="82"/>
    </row>
    <row r="23" spans="1:59" s="92" customFormat="1" ht="12.75" x14ac:dyDescent="0.2">
      <c r="A23" s="249" t="s">
        <v>225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1"/>
      <c r="AY23" s="105"/>
      <c r="AZ23" s="106" t="s">
        <v>246</v>
      </c>
      <c r="BA23" s="147"/>
      <c r="BB23" s="147"/>
      <c r="BC23" s="147">
        <f>100000</f>
        <v>100000</v>
      </c>
      <c r="BD23" s="147"/>
      <c r="BE23" s="147"/>
      <c r="BF23" s="147"/>
      <c r="BG23" s="82"/>
    </row>
    <row r="24" spans="1:59" s="92" customFormat="1" ht="12.75" x14ac:dyDescent="0.2">
      <c r="A24" s="249" t="s">
        <v>248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1"/>
      <c r="AY24" s="105"/>
      <c r="AZ24" s="106" t="s">
        <v>247</v>
      </c>
      <c r="BA24" s="147"/>
      <c r="BB24" s="147"/>
      <c r="BC24" s="147">
        <v>1263000</v>
      </c>
      <c r="BD24" s="147"/>
      <c r="BE24" s="147"/>
      <c r="BF24" s="147"/>
      <c r="BG24" s="82"/>
    </row>
    <row r="25" spans="1:59" ht="12.75" x14ac:dyDescent="0.2">
      <c r="A25" s="5"/>
      <c r="B25" s="218" t="s">
        <v>34</v>
      </c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9"/>
      <c r="AY25" s="8">
        <v>170</v>
      </c>
      <c r="AZ25" s="73" t="s">
        <v>241</v>
      </c>
      <c r="BA25" s="145">
        <f>BE25</f>
        <v>0</v>
      </c>
      <c r="BB25" s="146" t="s">
        <v>28</v>
      </c>
      <c r="BC25" s="146" t="s">
        <v>28</v>
      </c>
      <c r="BD25" s="146" t="s">
        <v>28</v>
      </c>
      <c r="BE25" s="146">
        <f>SUM(BE26:BE27)</f>
        <v>0</v>
      </c>
      <c r="BF25" s="146">
        <v>0</v>
      </c>
      <c r="BG25" s="82" t="s">
        <v>210</v>
      </c>
    </row>
    <row r="26" spans="1:59" s="92" customFormat="1" ht="12.75" x14ac:dyDescent="0.2">
      <c r="A26" s="249" t="s">
        <v>182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1"/>
      <c r="AY26" s="105"/>
      <c r="AZ26" s="106" t="s">
        <v>160</v>
      </c>
      <c r="BA26" s="147"/>
      <c r="BB26" s="147"/>
      <c r="BC26" s="147"/>
      <c r="BD26" s="147"/>
      <c r="BE26" s="147">
        <v>0</v>
      </c>
      <c r="BF26" s="147"/>
      <c r="BG26" s="82"/>
    </row>
    <row r="27" spans="1:59" s="92" customFormat="1" ht="27" customHeight="1" x14ac:dyDescent="0.2">
      <c r="A27" s="249" t="s">
        <v>208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1"/>
      <c r="AY27" s="105"/>
      <c r="AZ27" s="106" t="s">
        <v>207</v>
      </c>
      <c r="BA27" s="147"/>
      <c r="BB27" s="147"/>
      <c r="BC27" s="147"/>
      <c r="BD27" s="147"/>
      <c r="BE27" s="147"/>
      <c r="BF27" s="147"/>
      <c r="BG27" s="82"/>
    </row>
    <row r="28" spans="1:59" ht="12.75" x14ac:dyDescent="0.2">
      <c r="A28" s="5"/>
      <c r="B28" s="218" t="s">
        <v>35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9"/>
      <c r="AY28" s="8">
        <v>180</v>
      </c>
      <c r="AZ28" s="73" t="s">
        <v>53</v>
      </c>
      <c r="BA28" s="145">
        <f>BE28</f>
        <v>0</v>
      </c>
      <c r="BB28" s="146" t="s">
        <v>28</v>
      </c>
      <c r="BC28" s="146" t="s">
        <v>28</v>
      </c>
      <c r="BD28" s="146" t="s">
        <v>28</v>
      </c>
      <c r="BE28" s="146">
        <v>0</v>
      </c>
      <c r="BF28" s="146">
        <v>0</v>
      </c>
    </row>
    <row r="29" spans="1:59" ht="12.75" x14ac:dyDescent="0.2">
      <c r="A29" s="10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9"/>
      <c r="AY29" s="8"/>
      <c r="AZ29" s="73"/>
      <c r="BA29" s="145"/>
      <c r="BB29" s="146"/>
      <c r="BC29" s="146"/>
      <c r="BD29" s="146"/>
      <c r="BE29" s="146"/>
      <c r="BF29" s="146"/>
    </row>
    <row r="30" spans="1:59" ht="12.75" x14ac:dyDescent="0.2">
      <c r="A30" s="3"/>
      <c r="B30" s="247" t="s">
        <v>39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8"/>
      <c r="AY30" s="11">
        <v>200</v>
      </c>
      <c r="AZ30" s="73" t="s">
        <v>28</v>
      </c>
      <c r="BA30" s="144">
        <f t="shared" ref="BA30:BF30" si="0">BA31+BA43+BA46+BA55+BA57+BA58</f>
        <v>22313007.870000001</v>
      </c>
      <c r="BB30" s="144">
        <f t="shared" si="0"/>
        <v>19545984.52</v>
      </c>
      <c r="BC30" s="144">
        <f t="shared" si="0"/>
        <v>1417862.0000000002</v>
      </c>
      <c r="BD30" s="144">
        <f t="shared" si="0"/>
        <v>0</v>
      </c>
      <c r="BE30" s="144">
        <f t="shared" si="0"/>
        <v>1349161.3499999999</v>
      </c>
      <c r="BF30" s="144">
        <f t="shared" si="0"/>
        <v>0</v>
      </c>
      <c r="BG30" s="107"/>
    </row>
    <row r="31" spans="1:59" ht="12.75" x14ac:dyDescent="0.2">
      <c r="A31" s="5"/>
      <c r="B31" s="208" t="s">
        <v>40</v>
      </c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9"/>
      <c r="AY31" s="12">
        <v>210</v>
      </c>
      <c r="AZ31" s="73"/>
      <c r="BA31" s="145">
        <f t="shared" ref="BA31:BF31" si="1">BA32+BA39+BA42</f>
        <v>16628593.199999999</v>
      </c>
      <c r="BB31" s="149">
        <f t="shared" si="1"/>
        <v>16027654.139999999</v>
      </c>
      <c r="BC31" s="149">
        <f t="shared" si="1"/>
        <v>17482</v>
      </c>
      <c r="BD31" s="149">
        <f t="shared" si="1"/>
        <v>0</v>
      </c>
      <c r="BE31" s="149">
        <f t="shared" si="1"/>
        <v>583457.06000000006</v>
      </c>
      <c r="BF31" s="149">
        <f t="shared" si="1"/>
        <v>0</v>
      </c>
    </row>
    <row r="32" spans="1:59" ht="12.75" x14ac:dyDescent="0.2">
      <c r="A32" s="5"/>
      <c r="B32" s="208" t="s">
        <v>41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9"/>
      <c r="AY32" s="12">
        <v>211</v>
      </c>
      <c r="AZ32" s="73"/>
      <c r="BA32" s="145">
        <f>BA33+BA36</f>
        <v>16470700.199999999</v>
      </c>
      <c r="BB32" s="149">
        <f t="shared" ref="BB32:BF32" si="2">BB33+BB36</f>
        <v>15895654.139999999</v>
      </c>
      <c r="BC32" s="149">
        <f t="shared" si="2"/>
        <v>0</v>
      </c>
      <c r="BD32" s="149">
        <f t="shared" si="2"/>
        <v>0</v>
      </c>
      <c r="BE32" s="149">
        <f>BE33+BE36</f>
        <v>575046.06000000006</v>
      </c>
      <c r="BF32" s="149">
        <f t="shared" si="2"/>
        <v>0</v>
      </c>
    </row>
    <row r="33" spans="1:59" ht="12.75" x14ac:dyDescent="0.2">
      <c r="A33" s="6"/>
      <c r="B33" s="7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9"/>
      <c r="AY33" s="8"/>
      <c r="AZ33" s="73" t="s">
        <v>15</v>
      </c>
      <c r="BA33" s="145">
        <f>BB33+BC33+BD33+BE33</f>
        <v>12716999.209999999</v>
      </c>
      <c r="BB33" s="146">
        <f>BB34+BB35</f>
        <v>12274321.859999999</v>
      </c>
      <c r="BC33" s="146">
        <v>0</v>
      </c>
      <c r="BD33" s="146">
        <v>0</v>
      </c>
      <c r="BE33" s="146">
        <f>324000+37977.35+34700+46000</f>
        <v>442677.35</v>
      </c>
      <c r="BF33" s="146">
        <v>0</v>
      </c>
      <c r="BG33" s="82" t="s">
        <v>163</v>
      </c>
    </row>
    <row r="34" spans="1:59" s="92" customFormat="1" ht="17.25" customHeight="1" x14ac:dyDescent="0.2">
      <c r="A34" s="142"/>
      <c r="B34" s="143"/>
      <c r="C34" s="220" t="s">
        <v>191</v>
      </c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1"/>
      <c r="AY34" s="105"/>
      <c r="AZ34" s="106"/>
      <c r="BA34" s="147"/>
      <c r="BB34" s="147">
        <f>11621511+276000</f>
        <v>11897511</v>
      </c>
      <c r="BC34" s="147"/>
      <c r="BD34" s="147"/>
      <c r="BE34" s="147"/>
      <c r="BF34" s="147"/>
      <c r="BG34" s="110"/>
    </row>
    <row r="35" spans="1:59" s="92" customFormat="1" ht="12.75" x14ac:dyDescent="0.2">
      <c r="A35" s="142"/>
      <c r="B35" s="143"/>
      <c r="C35" s="220" t="s">
        <v>192</v>
      </c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1"/>
      <c r="AY35" s="105"/>
      <c r="AZ35" s="106"/>
      <c r="BA35" s="147"/>
      <c r="BB35" s="147">
        <v>376810.86</v>
      </c>
      <c r="BC35" s="147"/>
      <c r="BD35" s="147"/>
      <c r="BE35" s="147"/>
      <c r="BF35" s="147"/>
      <c r="BG35" s="110"/>
    </row>
    <row r="36" spans="1:59" ht="12.75" x14ac:dyDescent="0.2">
      <c r="A36" s="131"/>
      <c r="B36" s="13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9"/>
      <c r="AY36" s="8"/>
      <c r="AZ36" s="73" t="s">
        <v>16</v>
      </c>
      <c r="BA36" s="145">
        <f>BB36+BC36+BD36+BE36</f>
        <v>3753700.9899999998</v>
      </c>
      <c r="BB36" s="146">
        <f>BB37+BB38</f>
        <v>3621332.28</v>
      </c>
      <c r="BC36" s="146">
        <v>0</v>
      </c>
      <c r="BD36" s="146">
        <v>0</v>
      </c>
      <c r="BE36" s="146">
        <f>96000+11852.33+10516.38+14000</f>
        <v>132368.71000000002</v>
      </c>
      <c r="BF36" s="146">
        <v>0</v>
      </c>
      <c r="BG36" s="82" t="s">
        <v>162</v>
      </c>
    </row>
    <row r="37" spans="1:59" s="92" customFormat="1" ht="12.75" customHeight="1" x14ac:dyDescent="0.2">
      <c r="A37" s="139"/>
      <c r="B37" s="222" t="s">
        <v>191</v>
      </c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3"/>
      <c r="AY37" s="105"/>
      <c r="AZ37" s="106"/>
      <c r="BA37" s="147"/>
      <c r="BB37" s="147">
        <f>3428172+82000</f>
        <v>3510172</v>
      </c>
      <c r="BC37" s="147"/>
      <c r="BD37" s="147"/>
      <c r="BE37" s="147"/>
      <c r="BF37" s="147"/>
      <c r="BG37" s="110"/>
    </row>
    <row r="38" spans="1:59" s="92" customFormat="1" ht="12.75" customHeight="1" x14ac:dyDescent="0.2">
      <c r="A38" s="139"/>
      <c r="B38" s="222" t="s">
        <v>192</v>
      </c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3"/>
      <c r="AY38" s="105"/>
      <c r="AZ38" s="106"/>
      <c r="BA38" s="147"/>
      <c r="BB38" s="147">
        <v>111160.28</v>
      </c>
      <c r="BC38" s="147"/>
      <c r="BD38" s="147"/>
      <c r="BE38" s="147"/>
      <c r="BF38" s="147"/>
      <c r="BG38" s="110"/>
    </row>
    <row r="39" spans="1:59" ht="12.75" x14ac:dyDescent="0.2">
      <c r="A39" s="131"/>
      <c r="B39" s="13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9"/>
      <c r="AY39" s="8"/>
      <c r="AZ39" s="73" t="s">
        <v>14</v>
      </c>
      <c r="BA39" s="145">
        <f>BB39+BC39+BD39+BE39</f>
        <v>70093</v>
      </c>
      <c r="BB39" s="146">
        <f>57700-13500</f>
        <v>44200</v>
      </c>
      <c r="BC39" s="146">
        <f>17482</f>
        <v>17482</v>
      </c>
      <c r="BD39" s="146">
        <v>0</v>
      </c>
      <c r="BE39" s="146">
        <f>SUM(BE40:BE41)</f>
        <v>8411</v>
      </c>
      <c r="BF39" s="146">
        <v>0</v>
      </c>
      <c r="BG39" s="82" t="s">
        <v>161</v>
      </c>
    </row>
    <row r="40" spans="1:59" s="92" customFormat="1" ht="12.75" x14ac:dyDescent="0.2">
      <c r="A40" s="139"/>
      <c r="B40" s="140"/>
      <c r="C40" s="220" t="s">
        <v>224</v>
      </c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1"/>
      <c r="AY40" s="105"/>
      <c r="AZ40" s="106"/>
      <c r="BA40" s="147"/>
      <c r="BB40" s="147"/>
      <c r="BC40" s="147"/>
      <c r="BD40" s="147"/>
      <c r="BE40" s="147">
        <f>8000</f>
        <v>8000</v>
      </c>
      <c r="BF40" s="147"/>
      <c r="BG40" s="110"/>
    </row>
    <row r="41" spans="1:59" s="92" customFormat="1" ht="25.5" customHeight="1" x14ac:dyDescent="0.2">
      <c r="A41" s="139"/>
      <c r="B41" s="140"/>
      <c r="C41" s="220" t="s">
        <v>245</v>
      </c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1"/>
      <c r="AY41" s="105"/>
      <c r="AZ41" s="106"/>
      <c r="BA41" s="147"/>
      <c r="BB41" s="147"/>
      <c r="BC41" s="147"/>
      <c r="BD41" s="147"/>
      <c r="BE41" s="147">
        <v>411</v>
      </c>
      <c r="BF41" s="147"/>
      <c r="BG41" s="110"/>
    </row>
    <row r="42" spans="1:59" ht="12.75" x14ac:dyDescent="0.2">
      <c r="A42" s="131"/>
      <c r="B42" s="13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9"/>
      <c r="AY42" s="8"/>
      <c r="AZ42" s="73" t="s">
        <v>20</v>
      </c>
      <c r="BA42" s="145">
        <f>BB42+BC42+BD42+BE42</f>
        <v>87800</v>
      </c>
      <c r="BB42" s="146">
        <f>87800</f>
        <v>87800</v>
      </c>
      <c r="BC42" s="146">
        <v>0</v>
      </c>
      <c r="BD42" s="146">
        <v>0</v>
      </c>
      <c r="BE42" s="146"/>
      <c r="BF42" s="146">
        <v>0</v>
      </c>
      <c r="BG42" s="82" t="s">
        <v>233</v>
      </c>
    </row>
    <row r="43" spans="1:59" ht="12.75" x14ac:dyDescent="0.2">
      <c r="A43" s="5"/>
      <c r="B43" s="208" t="s">
        <v>42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9"/>
      <c r="AY43" s="12">
        <v>220</v>
      </c>
      <c r="AZ43" s="73"/>
      <c r="BA43" s="145">
        <f>BA45</f>
        <v>0</v>
      </c>
      <c r="BB43" s="149">
        <f t="shared" ref="BB43:BF43" si="3">BB45</f>
        <v>0</v>
      </c>
      <c r="BC43" s="149">
        <f t="shared" si="3"/>
        <v>0</v>
      </c>
      <c r="BD43" s="149">
        <f t="shared" si="3"/>
        <v>0</v>
      </c>
      <c r="BE43" s="149">
        <f t="shared" si="3"/>
        <v>0</v>
      </c>
      <c r="BF43" s="149">
        <f t="shared" si="3"/>
        <v>0</v>
      </c>
    </row>
    <row r="44" spans="1:59" ht="12.75" x14ac:dyDescent="0.2">
      <c r="A44" s="6"/>
      <c r="B44" s="7"/>
      <c r="C44" s="218" t="s">
        <v>12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9"/>
      <c r="AY44" s="8"/>
      <c r="AZ44" s="73"/>
      <c r="BA44" s="145"/>
      <c r="BB44" s="146"/>
      <c r="BC44" s="146"/>
      <c r="BD44" s="146"/>
      <c r="BE44" s="146"/>
      <c r="BF44" s="146"/>
    </row>
    <row r="45" spans="1:59" ht="12.75" x14ac:dyDescent="0.2">
      <c r="A45" s="131"/>
      <c r="B45" s="13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9"/>
      <c r="AY45" s="8"/>
      <c r="AZ45" s="73" t="s">
        <v>17</v>
      </c>
      <c r="BA45" s="145">
        <f>BB45+BC45+BD45+BE45</f>
        <v>0</v>
      </c>
      <c r="BB45" s="146">
        <v>0</v>
      </c>
      <c r="BC45" s="146">
        <v>0</v>
      </c>
      <c r="BD45" s="146">
        <v>0</v>
      </c>
      <c r="BE45" s="146">
        <v>0</v>
      </c>
      <c r="BF45" s="146">
        <v>0</v>
      </c>
    </row>
    <row r="46" spans="1:59" ht="26.25" customHeight="1" x14ac:dyDescent="0.2">
      <c r="A46" s="131"/>
      <c r="B46" s="138"/>
      <c r="C46" s="208" t="s">
        <v>43</v>
      </c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9"/>
      <c r="AY46" s="12">
        <v>230</v>
      </c>
      <c r="AZ46" s="73"/>
      <c r="BA46" s="145">
        <f t="shared" ref="BA46:BF46" si="4">BA49+BA50+BA54+BA48</f>
        <v>445500.3</v>
      </c>
      <c r="BB46" s="149">
        <f t="shared" si="4"/>
        <v>391240</v>
      </c>
      <c r="BC46" s="149">
        <f t="shared" si="4"/>
        <v>43287.05</v>
      </c>
      <c r="BD46" s="149">
        <f t="shared" si="4"/>
        <v>0</v>
      </c>
      <c r="BE46" s="149">
        <f t="shared" si="4"/>
        <v>10973.25</v>
      </c>
      <c r="BF46" s="149">
        <f t="shared" si="4"/>
        <v>0</v>
      </c>
    </row>
    <row r="47" spans="1:59" ht="12.75" x14ac:dyDescent="0.2">
      <c r="A47" s="131"/>
      <c r="B47" s="138"/>
      <c r="C47" s="218" t="s">
        <v>12</v>
      </c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9"/>
      <c r="AY47" s="8"/>
      <c r="AZ47" s="73"/>
      <c r="BA47" s="145"/>
      <c r="BB47" s="146"/>
      <c r="BC47" s="146"/>
      <c r="BD47" s="146"/>
      <c r="BE47" s="146"/>
      <c r="BF47" s="146"/>
    </row>
    <row r="48" spans="1:59" ht="12.75" x14ac:dyDescent="0.2">
      <c r="A48" s="224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6"/>
      <c r="AY48" s="8"/>
      <c r="AZ48" s="73" t="s">
        <v>151</v>
      </c>
      <c r="BA48" s="145">
        <f>BB48+BC48+BD48+BE48</f>
        <v>43287.05</v>
      </c>
      <c r="BB48" s="146"/>
      <c r="BC48" s="146">
        <f>20545.73+22741.32</f>
        <v>43287.05</v>
      </c>
      <c r="BD48" s="146">
        <v>0</v>
      </c>
      <c r="BE48" s="146">
        <v>0</v>
      </c>
      <c r="BF48" s="146">
        <v>0</v>
      </c>
      <c r="BG48" s="82" t="s">
        <v>250</v>
      </c>
    </row>
    <row r="49" spans="1:63" ht="12.75" x14ac:dyDescent="0.2">
      <c r="A49" s="153"/>
      <c r="B49" s="213" t="s">
        <v>202</v>
      </c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4"/>
      <c r="AY49" s="8"/>
      <c r="AZ49" s="73" t="s">
        <v>21</v>
      </c>
      <c r="BA49" s="145">
        <f>BB49+BC49+BD49+BE49</f>
        <v>356912</v>
      </c>
      <c r="BB49" s="146">
        <f>356912</f>
        <v>356912</v>
      </c>
      <c r="BC49" s="146">
        <v>0</v>
      </c>
      <c r="BD49" s="146">
        <v>0</v>
      </c>
      <c r="BE49" s="146">
        <v>0</v>
      </c>
      <c r="BF49" s="146">
        <v>0</v>
      </c>
      <c r="BG49" s="82" t="s">
        <v>234</v>
      </c>
    </row>
    <row r="50" spans="1:63" ht="12.75" x14ac:dyDescent="0.2">
      <c r="A50" s="6"/>
      <c r="B50" s="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9"/>
      <c r="AY50" s="8"/>
      <c r="AZ50" s="73" t="s">
        <v>18</v>
      </c>
      <c r="BA50" s="145">
        <f>BB50+BC50+BD50+BE50</f>
        <v>34328</v>
      </c>
      <c r="BB50" s="146">
        <f>BB51+BB52+BB53</f>
        <v>34328</v>
      </c>
      <c r="BC50" s="146">
        <v>0</v>
      </c>
      <c r="BD50" s="146">
        <v>0</v>
      </c>
      <c r="BE50" s="146">
        <f>SUM(BE51:BE53)</f>
        <v>0</v>
      </c>
      <c r="BF50" s="146">
        <v>0</v>
      </c>
      <c r="BG50" s="82" t="s">
        <v>235</v>
      </c>
    </row>
    <row r="51" spans="1:63" s="92" customFormat="1" ht="12.75" x14ac:dyDescent="0.2">
      <c r="A51" s="210" t="s">
        <v>203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2"/>
      <c r="AY51" s="105"/>
      <c r="AZ51" s="106"/>
      <c r="BA51" s="147"/>
      <c r="BB51" s="147">
        <f>1450</f>
        <v>1450</v>
      </c>
      <c r="BC51" s="147"/>
      <c r="BD51" s="147"/>
      <c r="BE51" s="147"/>
      <c r="BF51" s="147"/>
      <c r="BG51" s="110"/>
    </row>
    <row r="52" spans="1:63" s="92" customFormat="1" ht="12.75" x14ac:dyDescent="0.2">
      <c r="A52" s="210" t="s">
        <v>188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2"/>
      <c r="AY52" s="105"/>
      <c r="AZ52" s="106"/>
      <c r="BA52" s="147"/>
      <c r="BB52" s="147">
        <f>17078+15800</f>
        <v>32878</v>
      </c>
      <c r="BC52" s="147"/>
      <c r="BD52" s="147"/>
      <c r="BE52" s="147"/>
      <c r="BF52" s="147"/>
      <c r="BG52" s="110"/>
    </row>
    <row r="53" spans="1:63" s="92" customFormat="1" ht="12.75" x14ac:dyDescent="0.2">
      <c r="A53" s="210" t="s">
        <v>190</v>
      </c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2"/>
      <c r="AY53" s="105"/>
      <c r="AZ53" s="106"/>
      <c r="BA53" s="147"/>
      <c r="BB53" s="147"/>
      <c r="BC53" s="147"/>
      <c r="BD53" s="147"/>
      <c r="BE53" s="147">
        <f>2000+7000-2400-3850-2750</f>
        <v>0</v>
      </c>
      <c r="BF53" s="147"/>
      <c r="BG53" s="110"/>
    </row>
    <row r="54" spans="1:63" ht="39" customHeight="1" x14ac:dyDescent="0.2">
      <c r="A54" s="131"/>
      <c r="B54" s="13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9"/>
      <c r="AY54" s="8"/>
      <c r="AZ54" s="73" t="s">
        <v>19</v>
      </c>
      <c r="BA54" s="145">
        <f t="shared" ref="BA54" si="5">BB54+BC54+BD54+BE54</f>
        <v>10973.25</v>
      </c>
      <c r="BB54" s="146"/>
      <c r="BC54" s="146">
        <v>0</v>
      </c>
      <c r="BD54" s="146">
        <v>0</v>
      </c>
      <c r="BE54" s="146">
        <f>5000+5973.25</f>
        <v>10973.25</v>
      </c>
      <c r="BF54" s="146">
        <v>0</v>
      </c>
      <c r="BG54" s="206" t="s">
        <v>236</v>
      </c>
      <c r="BH54" s="207"/>
      <c r="BI54" s="207"/>
      <c r="BJ54" s="207"/>
      <c r="BK54" s="207"/>
    </row>
    <row r="55" spans="1:63" ht="12.75" x14ac:dyDescent="0.2">
      <c r="A55" s="131"/>
      <c r="B55" s="138"/>
      <c r="C55" s="208" t="s">
        <v>44</v>
      </c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9"/>
      <c r="AY55" s="12">
        <v>240</v>
      </c>
      <c r="AZ55" s="73"/>
      <c r="BA55" s="145"/>
      <c r="BB55" s="149"/>
      <c r="BC55" s="149"/>
      <c r="BD55" s="149"/>
      <c r="BE55" s="149"/>
      <c r="BF55" s="149"/>
    </row>
    <row r="56" spans="1:63" ht="12.75" x14ac:dyDescent="0.2">
      <c r="A56" s="131"/>
      <c r="B56" s="13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9"/>
      <c r="AY56" s="8"/>
      <c r="AZ56" s="73"/>
      <c r="BA56" s="145"/>
      <c r="BB56" s="146"/>
      <c r="BC56" s="146"/>
      <c r="BD56" s="146"/>
      <c r="BE56" s="146"/>
      <c r="BF56" s="146"/>
    </row>
    <row r="57" spans="1:63" ht="12.75" x14ac:dyDescent="0.2">
      <c r="A57" s="131"/>
      <c r="B57" s="138"/>
      <c r="C57" s="208" t="s">
        <v>45</v>
      </c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9"/>
      <c r="AY57" s="12">
        <v>250</v>
      </c>
      <c r="AZ57" s="73" t="s">
        <v>55</v>
      </c>
      <c r="BA57" s="145">
        <f>BD57</f>
        <v>0</v>
      </c>
      <c r="BB57" s="149">
        <v>0</v>
      </c>
      <c r="BC57" s="149">
        <v>0</v>
      </c>
      <c r="BD57" s="149">
        <v>0</v>
      </c>
      <c r="BE57" s="149">
        <v>0</v>
      </c>
      <c r="BF57" s="149">
        <v>0</v>
      </c>
      <c r="BG57" s="82" t="s">
        <v>56</v>
      </c>
    </row>
    <row r="58" spans="1:63" ht="12.75" x14ac:dyDescent="0.2">
      <c r="A58" s="5"/>
      <c r="B58" s="208" t="s">
        <v>54</v>
      </c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9"/>
      <c r="AY58" s="12">
        <v>260</v>
      </c>
      <c r="AZ58" s="73" t="s">
        <v>13</v>
      </c>
      <c r="BA58" s="145">
        <f>BB58+BC58+BD58+BE58</f>
        <v>5238914.37</v>
      </c>
      <c r="BB58" s="149">
        <f>SUM(BB59:BB85)</f>
        <v>3127090.3800000004</v>
      </c>
      <c r="BC58" s="149">
        <f>SUM(BC59:BC108)</f>
        <v>1357092.9500000002</v>
      </c>
      <c r="BD58" s="149">
        <v>0</v>
      </c>
      <c r="BE58" s="149">
        <f>SUM(BE59:BE108)</f>
        <v>754731.0399999998</v>
      </c>
      <c r="BF58" s="149">
        <v>0</v>
      </c>
    </row>
    <row r="59" spans="1:63" s="92" customFormat="1" ht="12.75" x14ac:dyDescent="0.2">
      <c r="A59" s="249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1"/>
      <c r="AY59" s="253">
        <v>4000</v>
      </c>
      <c r="AZ59" s="106" t="s">
        <v>164</v>
      </c>
      <c r="BA59" s="147"/>
      <c r="BB59" s="147">
        <f>44400</f>
        <v>44400</v>
      </c>
      <c r="BC59" s="147"/>
      <c r="BD59" s="147"/>
      <c r="BE59" s="147"/>
      <c r="BF59" s="147"/>
      <c r="BG59" s="205" t="s">
        <v>152</v>
      </c>
    </row>
    <row r="60" spans="1:63" s="92" customFormat="1" ht="12.75" x14ac:dyDescent="0.2">
      <c r="A60" s="249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1"/>
      <c r="AY60" s="254"/>
      <c r="AZ60" s="106" t="s">
        <v>165</v>
      </c>
      <c r="BA60" s="147"/>
      <c r="BB60" s="147">
        <f>1116642+793.1</f>
        <v>1117435.1000000001</v>
      </c>
      <c r="BC60" s="147"/>
      <c r="BD60" s="147"/>
      <c r="BE60" s="147"/>
      <c r="BF60" s="147"/>
      <c r="BG60" s="205"/>
    </row>
    <row r="61" spans="1:63" s="92" customFormat="1" ht="12.75" x14ac:dyDescent="0.2">
      <c r="A61" s="249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1"/>
      <c r="AY61" s="254"/>
      <c r="AZ61" s="106" t="s">
        <v>166</v>
      </c>
      <c r="BA61" s="147"/>
      <c r="BB61" s="147">
        <f>881756+9961.99</f>
        <v>891717.99</v>
      </c>
      <c r="BC61" s="147"/>
      <c r="BD61" s="147"/>
      <c r="BE61" s="147"/>
      <c r="BF61" s="147"/>
      <c r="BG61" s="205"/>
    </row>
    <row r="62" spans="1:63" s="92" customFormat="1" ht="12.75" x14ac:dyDescent="0.2">
      <c r="A62" s="249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1"/>
      <c r="AY62" s="254"/>
      <c r="AZ62" s="106" t="s">
        <v>167</v>
      </c>
      <c r="BA62" s="147"/>
      <c r="BB62" s="147">
        <f>48809+1074.03</f>
        <v>49883.03</v>
      </c>
      <c r="BC62" s="147"/>
      <c r="BD62" s="147"/>
      <c r="BE62" s="147"/>
      <c r="BF62" s="147"/>
      <c r="BG62" s="205"/>
    </row>
    <row r="63" spans="1:63" s="92" customFormat="1" ht="12.75" x14ac:dyDescent="0.2">
      <c r="A63" s="249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1"/>
      <c r="AY63" s="254"/>
      <c r="AZ63" s="106" t="s">
        <v>168</v>
      </c>
      <c r="BA63" s="147"/>
      <c r="BB63" s="147">
        <f>302106+66601.28-11829.12</f>
        <v>356878.16000000003</v>
      </c>
      <c r="BC63" s="147"/>
      <c r="BD63" s="147"/>
      <c r="BE63" s="147"/>
      <c r="BF63" s="147"/>
      <c r="BG63" s="205"/>
    </row>
    <row r="64" spans="1:63" s="92" customFormat="1" ht="12.75" x14ac:dyDescent="0.2">
      <c r="A64" s="249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1"/>
      <c r="AY64" s="254"/>
      <c r="AZ64" s="106" t="s">
        <v>169</v>
      </c>
      <c r="BA64" s="147"/>
      <c r="BB64" s="147">
        <f>434944-37209.98+13500</f>
        <v>411234.02</v>
      </c>
      <c r="BC64" s="147"/>
      <c r="BD64" s="147"/>
      <c r="BE64" s="147"/>
      <c r="BF64" s="147"/>
      <c r="BG64" s="205"/>
    </row>
    <row r="65" spans="1:60" s="92" customFormat="1" ht="12.75" x14ac:dyDescent="0.2">
      <c r="A65" s="249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1"/>
      <c r="AY65" s="254"/>
      <c r="AZ65" s="106" t="s">
        <v>170</v>
      </c>
      <c r="BA65" s="147"/>
      <c r="BB65" s="147">
        <f>156800-29391.3</f>
        <v>127408.7</v>
      </c>
      <c r="BC65" s="147"/>
      <c r="BD65" s="147"/>
      <c r="BE65" s="147"/>
      <c r="BF65" s="147"/>
      <c r="BG65" s="205"/>
    </row>
    <row r="66" spans="1:60" s="92" customFormat="1" ht="12.75" x14ac:dyDescent="0.2">
      <c r="A66" s="255" t="s">
        <v>172</v>
      </c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256"/>
      <c r="AM66" s="256"/>
      <c r="AN66" s="256"/>
      <c r="AO66" s="256"/>
      <c r="AP66" s="256"/>
      <c r="AQ66" s="256"/>
      <c r="AR66" s="256"/>
      <c r="AS66" s="256"/>
      <c r="AT66" s="256"/>
      <c r="AU66" s="256"/>
      <c r="AV66" s="256"/>
      <c r="AW66" s="256"/>
      <c r="AX66" s="257"/>
      <c r="AY66" s="254"/>
      <c r="AZ66" s="106" t="s">
        <v>169</v>
      </c>
      <c r="BA66" s="147"/>
      <c r="BB66" s="147"/>
      <c r="BC66" s="147"/>
      <c r="BD66" s="147"/>
      <c r="BE66" s="147"/>
      <c r="BF66" s="147"/>
      <c r="BG66" s="205"/>
    </row>
    <row r="67" spans="1:60" s="92" customFormat="1" ht="12.75" customHeight="1" x14ac:dyDescent="0.2">
      <c r="A67" s="258"/>
      <c r="B67" s="259"/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59"/>
      <c r="AU67" s="259"/>
      <c r="AV67" s="259"/>
      <c r="AW67" s="259"/>
      <c r="AX67" s="260"/>
      <c r="AY67" s="254"/>
      <c r="AZ67" s="106" t="s">
        <v>171</v>
      </c>
      <c r="BA67" s="147"/>
      <c r="BB67" s="147"/>
      <c r="BC67" s="147"/>
      <c r="BD67" s="147"/>
      <c r="BE67" s="147"/>
      <c r="BF67" s="147"/>
      <c r="BG67" s="205"/>
    </row>
    <row r="68" spans="1:60" s="92" customFormat="1" ht="12.75" x14ac:dyDescent="0.2">
      <c r="A68" s="249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1"/>
      <c r="AY68" s="261">
        <v>4199</v>
      </c>
      <c r="AZ68" s="106" t="s">
        <v>164</v>
      </c>
      <c r="BA68" s="147"/>
      <c r="BB68" s="147">
        <v>3485.64</v>
      </c>
      <c r="BC68" s="147"/>
      <c r="BD68" s="147"/>
      <c r="BE68" s="147"/>
      <c r="BF68" s="147"/>
      <c r="BG68" s="205"/>
    </row>
    <row r="69" spans="1:60" s="92" customFormat="1" ht="12.75" x14ac:dyDescent="0.2">
      <c r="A69" s="249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1"/>
      <c r="AY69" s="261"/>
      <c r="AZ69" s="106" t="s">
        <v>165</v>
      </c>
      <c r="BA69" s="147"/>
      <c r="BB69" s="147">
        <f>64.97+169.35</f>
        <v>234.32</v>
      </c>
      <c r="BC69" s="147"/>
      <c r="BD69" s="147"/>
      <c r="BE69" s="147"/>
      <c r="BF69" s="147"/>
      <c r="BG69" s="205"/>
      <c r="BH69" s="156">
        <f>BB60+BB61+BB62+BB69+BB70+BB71+BE88+BE89+BE90+BE100+BE101+BE102</f>
        <v>2316786.2000000002</v>
      </c>
    </row>
    <row r="70" spans="1:60" s="92" customFormat="1" ht="12.75" x14ac:dyDescent="0.2">
      <c r="A70" s="249"/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1"/>
      <c r="AY70" s="261"/>
      <c r="AZ70" s="106" t="s">
        <v>166</v>
      </c>
      <c r="BA70" s="147"/>
      <c r="BB70" s="147">
        <f>48254.6+2816.4</f>
        <v>51071</v>
      </c>
      <c r="BC70" s="147"/>
      <c r="BD70" s="147"/>
      <c r="BE70" s="147"/>
      <c r="BF70" s="147"/>
      <c r="BG70" s="205"/>
    </row>
    <row r="71" spans="1:60" s="92" customFormat="1" ht="12.75" x14ac:dyDescent="0.2">
      <c r="A71" s="249"/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1"/>
      <c r="AY71" s="261"/>
      <c r="AZ71" s="106" t="s">
        <v>167</v>
      </c>
      <c r="BA71" s="147"/>
      <c r="BB71" s="147">
        <f>2844.73+101.78</f>
        <v>2946.51</v>
      </c>
      <c r="BC71" s="147"/>
      <c r="BD71" s="147"/>
      <c r="BE71" s="147"/>
      <c r="BF71" s="147"/>
      <c r="BG71" s="205"/>
    </row>
    <row r="72" spans="1:60" s="92" customFormat="1" ht="12.75" x14ac:dyDescent="0.2">
      <c r="A72" s="150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2"/>
      <c r="AY72" s="261"/>
      <c r="AZ72" s="106" t="s">
        <v>168</v>
      </c>
      <c r="BA72" s="147"/>
      <c r="BB72" s="147">
        <f>42975.44+11912.47</f>
        <v>54887.91</v>
      </c>
      <c r="BC72" s="147"/>
      <c r="BD72" s="147"/>
      <c r="BE72" s="147"/>
      <c r="BF72" s="147"/>
      <c r="BG72" s="205"/>
      <c r="BH72" s="92">
        <v>0</v>
      </c>
    </row>
    <row r="73" spans="1:60" s="92" customFormat="1" ht="12.75" x14ac:dyDescent="0.2">
      <c r="A73" s="150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2"/>
      <c r="AY73" s="261"/>
      <c r="AZ73" s="106" t="s">
        <v>169</v>
      </c>
      <c r="BA73" s="147"/>
      <c r="BB73" s="147">
        <f>18360-15000</f>
        <v>3360</v>
      </c>
      <c r="BC73" s="147"/>
      <c r="BD73" s="147"/>
      <c r="BE73" s="147"/>
      <c r="BF73" s="147"/>
      <c r="BG73" s="205"/>
    </row>
    <row r="74" spans="1:60" s="92" customFormat="1" ht="12.75" x14ac:dyDescent="0.2">
      <c r="A74" s="150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2"/>
      <c r="AY74" s="261"/>
      <c r="AZ74" s="106" t="s">
        <v>170</v>
      </c>
      <c r="BA74" s="147"/>
      <c r="BB74" s="147">
        <v>11638</v>
      </c>
      <c r="BC74" s="147"/>
      <c r="BD74" s="147"/>
      <c r="BE74" s="147"/>
      <c r="BF74" s="147"/>
      <c r="BG74" s="205"/>
    </row>
    <row r="75" spans="1:60" s="92" customFormat="1" ht="12.75" x14ac:dyDescent="0.2">
      <c r="A75" s="157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2"/>
      <c r="AY75" s="261"/>
      <c r="AZ75" s="106" t="s">
        <v>169</v>
      </c>
      <c r="BA75" s="147"/>
      <c r="BB75" s="147"/>
      <c r="BC75" s="147"/>
      <c r="BD75" s="147"/>
      <c r="BE75" s="147"/>
      <c r="BF75" s="147"/>
      <c r="BG75" s="205"/>
    </row>
    <row r="76" spans="1:60" s="92" customFormat="1" ht="12.75" customHeight="1" x14ac:dyDescent="0.2">
      <c r="A76" s="157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2"/>
      <c r="AY76" s="261"/>
      <c r="AZ76" s="106" t="s">
        <v>171</v>
      </c>
      <c r="BA76" s="147"/>
      <c r="BB76" s="147">
        <v>510</v>
      </c>
      <c r="BC76" s="147"/>
      <c r="BD76" s="147"/>
      <c r="BE76" s="147"/>
      <c r="BF76" s="147"/>
      <c r="BG76" s="205"/>
    </row>
    <row r="77" spans="1:60" s="92" customFormat="1" ht="12.75" x14ac:dyDescent="0.2">
      <c r="A77" s="157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2"/>
      <c r="AY77" s="261"/>
      <c r="AZ77" s="106" t="s">
        <v>170</v>
      </c>
      <c r="BA77" s="147"/>
      <c r="BB77" s="147"/>
      <c r="BC77" s="147"/>
      <c r="BD77" s="147"/>
      <c r="BE77" s="147"/>
      <c r="BF77" s="147"/>
      <c r="BG77" s="205"/>
    </row>
    <row r="78" spans="1:60" s="92" customFormat="1" ht="12.75" x14ac:dyDescent="0.2">
      <c r="A78" s="249" t="s">
        <v>195</v>
      </c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1"/>
      <c r="AY78" s="105"/>
      <c r="AZ78" s="106" t="s">
        <v>171</v>
      </c>
      <c r="BA78" s="147"/>
      <c r="BB78" s="147"/>
      <c r="BC78" s="147">
        <f>13696</f>
        <v>13696</v>
      </c>
      <c r="BD78" s="147"/>
      <c r="BE78" s="147"/>
      <c r="BF78" s="147"/>
      <c r="BG78" s="205"/>
    </row>
    <row r="79" spans="1:60" s="92" customFormat="1" ht="12.75" x14ac:dyDescent="0.2">
      <c r="A79" s="249" t="s">
        <v>195</v>
      </c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1"/>
      <c r="AY79" s="105"/>
      <c r="AZ79" s="106" t="s">
        <v>169</v>
      </c>
      <c r="BA79" s="147"/>
      <c r="BB79" s="147"/>
      <c r="BC79" s="147">
        <f>23684</f>
        <v>23684</v>
      </c>
      <c r="BD79" s="147"/>
      <c r="BE79" s="147"/>
      <c r="BF79" s="147"/>
      <c r="BG79" s="205"/>
    </row>
    <row r="80" spans="1:60" s="92" customFormat="1" ht="12.75" x14ac:dyDescent="0.2">
      <c r="A80" s="249" t="s">
        <v>174</v>
      </c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1"/>
      <c r="AY80" s="105"/>
      <c r="AZ80" s="106" t="s">
        <v>175</v>
      </c>
      <c r="BA80" s="147"/>
      <c r="BB80" s="147"/>
      <c r="BC80" s="147"/>
      <c r="BD80" s="147"/>
      <c r="BE80" s="147"/>
      <c r="BF80" s="147"/>
      <c r="BG80" s="205"/>
    </row>
    <row r="81" spans="1:63" s="92" customFormat="1" ht="12.75" x14ac:dyDescent="0.2">
      <c r="A81" s="249" t="s">
        <v>204</v>
      </c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1"/>
      <c r="AY81" s="105"/>
      <c r="AZ81" s="106" t="s">
        <v>249</v>
      </c>
      <c r="BA81" s="147"/>
      <c r="BB81" s="147"/>
      <c r="BC81" s="147">
        <v>649062.05000000005</v>
      </c>
      <c r="BD81" s="147"/>
      <c r="BE81" s="147"/>
      <c r="BF81" s="147"/>
      <c r="BG81" s="205"/>
    </row>
    <row r="82" spans="1:63" s="92" customFormat="1" ht="12.75" x14ac:dyDescent="0.2">
      <c r="A82" s="249" t="s">
        <v>204</v>
      </c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1"/>
      <c r="AY82" s="105"/>
      <c r="AZ82" s="106" t="s">
        <v>167</v>
      </c>
      <c r="BA82" s="147"/>
      <c r="BB82" s="147"/>
      <c r="BC82" s="147">
        <v>52397.66</v>
      </c>
      <c r="BD82" s="147"/>
      <c r="BE82" s="147"/>
      <c r="BF82" s="147"/>
      <c r="BG82" s="205"/>
    </row>
    <row r="83" spans="1:63" s="92" customFormat="1" ht="12.75" x14ac:dyDescent="0.2">
      <c r="A83" s="249" t="s">
        <v>204</v>
      </c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0"/>
      <c r="AL83" s="220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1"/>
      <c r="AY83" s="105"/>
      <c r="AZ83" s="106" t="s">
        <v>168</v>
      </c>
      <c r="BA83" s="147"/>
      <c r="BB83" s="147"/>
      <c r="BC83" s="147">
        <v>518253.24</v>
      </c>
      <c r="BD83" s="147"/>
      <c r="BE83" s="147"/>
      <c r="BF83" s="147"/>
      <c r="BG83" s="205"/>
    </row>
    <row r="84" spans="1:63" s="92" customFormat="1" ht="14.25" customHeight="1" x14ac:dyDescent="0.2">
      <c r="A84" s="249" t="s">
        <v>225</v>
      </c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1"/>
      <c r="AY84" s="105"/>
      <c r="AZ84" s="106" t="s">
        <v>169</v>
      </c>
      <c r="BA84" s="147"/>
      <c r="BB84" s="147"/>
      <c r="BC84" s="147">
        <f>100000</f>
        <v>100000</v>
      </c>
      <c r="BD84" s="147"/>
      <c r="BE84" s="147"/>
      <c r="BF84" s="147"/>
      <c r="BG84" s="205"/>
    </row>
    <row r="85" spans="1:63" s="92" customFormat="1" ht="14.25" customHeight="1" x14ac:dyDescent="0.2">
      <c r="A85" s="249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1"/>
      <c r="AY85" s="105"/>
      <c r="AZ85" s="106" t="s">
        <v>171</v>
      </c>
      <c r="BA85" s="147"/>
      <c r="BB85" s="147"/>
      <c r="BC85" s="147"/>
      <c r="BD85" s="147"/>
      <c r="BE85" s="147"/>
      <c r="BF85" s="147"/>
      <c r="BG85" s="205"/>
    </row>
    <row r="86" spans="1:63" s="92" customFormat="1" ht="14.25" customHeight="1" x14ac:dyDescent="0.2">
      <c r="A86" s="249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0"/>
      <c r="AL86" s="220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1"/>
      <c r="AY86" s="105"/>
      <c r="AZ86" s="106" t="s">
        <v>170</v>
      </c>
      <c r="BA86" s="147"/>
      <c r="BB86" s="147"/>
      <c r="BC86" s="147"/>
      <c r="BD86" s="147"/>
      <c r="BE86" s="147"/>
      <c r="BF86" s="147"/>
      <c r="BG86" s="205"/>
      <c r="BH86" s="93" t="s">
        <v>183</v>
      </c>
      <c r="BI86" s="94" t="s">
        <v>184</v>
      </c>
      <c r="BJ86" s="94" t="s">
        <v>185</v>
      </c>
      <c r="BK86" s="94" t="s">
        <v>146</v>
      </c>
    </row>
    <row r="87" spans="1:63" s="92" customFormat="1" ht="14.25" customHeight="1" x14ac:dyDescent="0.2">
      <c r="A87" s="132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4"/>
      <c r="AY87" s="105">
        <v>2001</v>
      </c>
      <c r="AZ87" s="106" t="s">
        <v>164</v>
      </c>
      <c r="BA87" s="147"/>
      <c r="BB87" s="147"/>
      <c r="BC87" s="147"/>
      <c r="BD87" s="147"/>
      <c r="BE87" s="147">
        <f>24000+3380.4-3300</f>
        <v>24080.400000000001</v>
      </c>
      <c r="BF87" s="147"/>
      <c r="BG87" s="205"/>
      <c r="BH87" s="93">
        <v>221</v>
      </c>
      <c r="BI87" s="95">
        <f>BE87+BE103</f>
        <v>50552.72</v>
      </c>
      <c r="BJ87" s="95">
        <f>BB59+BB68</f>
        <v>47885.64</v>
      </c>
      <c r="BK87" s="95">
        <f>BI87+BJ87</f>
        <v>98438.36</v>
      </c>
    </row>
    <row r="88" spans="1:63" s="92" customFormat="1" ht="14.25" customHeight="1" x14ac:dyDescent="0.2">
      <c r="A88" s="132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4" t="s">
        <v>178</v>
      </c>
      <c r="AY88" s="105">
        <v>2001</v>
      </c>
      <c r="AZ88" s="106" t="s">
        <v>173</v>
      </c>
      <c r="BA88" s="147"/>
      <c r="BB88" s="147"/>
      <c r="BC88" s="147"/>
      <c r="BD88" s="147"/>
      <c r="BE88" s="147">
        <f>13000+28.46</f>
        <v>13028.46</v>
      </c>
      <c r="BF88" s="147"/>
      <c r="BG88" s="205"/>
      <c r="BH88" s="93">
        <v>222</v>
      </c>
      <c r="BI88" s="95">
        <f>0</f>
        <v>0</v>
      </c>
      <c r="BJ88" s="95">
        <f>BC80</f>
        <v>0</v>
      </c>
      <c r="BK88" s="95">
        <f t="shared" ref="BK88:BK94" si="6">BI88+BJ88</f>
        <v>0</v>
      </c>
    </row>
    <row r="89" spans="1:63" s="92" customFormat="1" ht="14.25" customHeight="1" x14ac:dyDescent="0.2">
      <c r="A89" s="132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4" t="s">
        <v>179</v>
      </c>
      <c r="AY89" s="105">
        <v>2001</v>
      </c>
      <c r="AZ89" s="106" t="s">
        <v>173</v>
      </c>
      <c r="BA89" s="147"/>
      <c r="BB89" s="147"/>
      <c r="BC89" s="147"/>
      <c r="BD89" s="147"/>
      <c r="BE89" s="147">
        <f>20000+244.24</f>
        <v>20244.240000000002</v>
      </c>
      <c r="BF89" s="147"/>
      <c r="BG89" s="205"/>
      <c r="BH89" s="93">
        <v>223</v>
      </c>
      <c r="BI89" s="95">
        <f>BE88+BE89+BE90+BE100+BE101+BE102</f>
        <v>203498.25</v>
      </c>
      <c r="BJ89" s="95">
        <f>BB60+BB61+BB62+BB69+BB70+BB71+BC81+BC82</f>
        <v>2814747.66</v>
      </c>
      <c r="BK89" s="95">
        <f t="shared" si="6"/>
        <v>3018245.91</v>
      </c>
    </row>
    <row r="90" spans="1:63" s="92" customFormat="1" ht="14.25" customHeight="1" x14ac:dyDescent="0.2">
      <c r="A90" s="132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4" t="s">
        <v>180</v>
      </c>
      <c r="AY90" s="105">
        <v>2001</v>
      </c>
      <c r="AZ90" s="106" t="s">
        <v>173</v>
      </c>
      <c r="BA90" s="147"/>
      <c r="BB90" s="147"/>
      <c r="BC90" s="147"/>
      <c r="BD90" s="147"/>
      <c r="BE90" s="147">
        <f>2000+0.02</f>
        <v>2000.02</v>
      </c>
      <c r="BF90" s="147"/>
      <c r="BG90" s="205"/>
      <c r="BH90" s="93">
        <v>225</v>
      </c>
      <c r="BI90" s="95">
        <f>BE91+BE96+BE104+BE95</f>
        <v>153568.53</v>
      </c>
      <c r="BJ90" s="95">
        <f>BB63+BB72+BC83</f>
        <v>930019.31</v>
      </c>
      <c r="BK90" s="95">
        <f t="shared" si="6"/>
        <v>1083587.8400000001</v>
      </c>
    </row>
    <row r="91" spans="1:63" s="92" customFormat="1" ht="14.25" customHeight="1" x14ac:dyDescent="0.2">
      <c r="A91" s="132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4"/>
      <c r="AY91" s="105">
        <v>2001</v>
      </c>
      <c r="AZ91" s="106" t="s">
        <v>168</v>
      </c>
      <c r="BA91" s="147"/>
      <c r="BB91" s="147"/>
      <c r="BC91" s="147"/>
      <c r="BD91" s="147"/>
      <c r="BE91" s="147">
        <f>45000-13031.84+48810.37</f>
        <v>80778.53</v>
      </c>
      <c r="BF91" s="147"/>
      <c r="BG91" s="205"/>
      <c r="BH91" s="93">
        <v>226</v>
      </c>
      <c r="BI91" s="95">
        <f>BE92+BE97+BE105</f>
        <v>88907.08</v>
      </c>
      <c r="BJ91" s="95">
        <f>BB64+BB66+BB75+BC79+BB73+BC84</f>
        <v>538278.02</v>
      </c>
      <c r="BK91" s="95">
        <f t="shared" si="6"/>
        <v>627185.1</v>
      </c>
    </row>
    <row r="92" spans="1:63" s="92" customFormat="1" ht="14.25" customHeight="1" x14ac:dyDescent="0.2">
      <c r="A92" s="132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4"/>
      <c r="AY92" s="105">
        <v>2001</v>
      </c>
      <c r="AZ92" s="106" t="s">
        <v>169</v>
      </c>
      <c r="BA92" s="147"/>
      <c r="BB92" s="147"/>
      <c r="BC92" s="147"/>
      <c r="BD92" s="147"/>
      <c r="BE92" s="147">
        <f>60000-30380.3</f>
        <v>29619.7</v>
      </c>
      <c r="BF92" s="147"/>
      <c r="BG92" s="205"/>
      <c r="BH92" s="93">
        <v>290</v>
      </c>
      <c r="BI92" s="95"/>
      <c r="BJ92" s="95">
        <f>BB67+BB76+BC78</f>
        <v>14206</v>
      </c>
      <c r="BK92" s="95">
        <f t="shared" si="6"/>
        <v>14206</v>
      </c>
    </row>
    <row r="93" spans="1:63" s="92" customFormat="1" ht="14.25" customHeight="1" x14ac:dyDescent="0.2">
      <c r="A93" s="132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4"/>
      <c r="AY93" s="105">
        <v>2001</v>
      </c>
      <c r="AZ93" s="106" t="s">
        <v>181</v>
      </c>
      <c r="BA93" s="147"/>
      <c r="BB93" s="147"/>
      <c r="BC93" s="147"/>
      <c r="BD93" s="147"/>
      <c r="BE93" s="147">
        <f>30000+76771.3+8150</f>
        <v>114921.3</v>
      </c>
      <c r="BF93" s="147"/>
      <c r="BG93" s="205"/>
      <c r="BH93" s="93">
        <v>310</v>
      </c>
      <c r="BI93" s="95">
        <f>BE93+BE98+BE106</f>
        <v>114921.3</v>
      </c>
      <c r="BJ93" s="95">
        <f>0</f>
        <v>0</v>
      </c>
      <c r="BK93" s="95">
        <f t="shared" si="6"/>
        <v>114921.3</v>
      </c>
    </row>
    <row r="94" spans="1:63" s="92" customFormat="1" ht="14.25" customHeight="1" x14ac:dyDescent="0.2">
      <c r="A94" s="132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4"/>
      <c r="AY94" s="105">
        <v>2001</v>
      </c>
      <c r="AZ94" s="106" t="s">
        <v>170</v>
      </c>
      <c r="BA94" s="147"/>
      <c r="BB94" s="147"/>
      <c r="BC94" s="147"/>
      <c r="BD94" s="147"/>
      <c r="BE94" s="147">
        <f>73000+8991-30059.16-8150+40000</f>
        <v>83781.84</v>
      </c>
      <c r="BF94" s="147"/>
      <c r="BG94" s="205"/>
      <c r="BH94" s="93">
        <v>340</v>
      </c>
      <c r="BI94" s="95">
        <f>BE94+BE99+BE107+BE108</f>
        <v>143283.16</v>
      </c>
      <c r="BJ94" s="95">
        <f>BB77+BB65+BB74</f>
        <v>139046.70000000001</v>
      </c>
      <c r="BK94" s="95">
        <f t="shared" si="6"/>
        <v>282329.86</v>
      </c>
    </row>
    <row r="95" spans="1:63" s="92" customFormat="1" ht="14.25" customHeight="1" x14ac:dyDescent="0.2">
      <c r="A95" s="132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4"/>
      <c r="AY95" s="105">
        <v>2006</v>
      </c>
      <c r="AZ95" s="106" t="s">
        <v>168</v>
      </c>
      <c r="BA95" s="147"/>
      <c r="BB95" s="147"/>
      <c r="BC95" s="147"/>
      <c r="BD95" s="147"/>
      <c r="BE95" s="147">
        <f>60000</f>
        <v>60000</v>
      </c>
      <c r="BF95" s="147"/>
      <c r="BG95" s="205"/>
      <c r="BH95" s="93" t="s">
        <v>146</v>
      </c>
      <c r="BI95" s="95">
        <f>SUM(BI87:BI94)</f>
        <v>754731.04</v>
      </c>
      <c r="BJ95" s="95">
        <f>SUM(BJ87:BJ94)</f>
        <v>4484183.330000001</v>
      </c>
      <c r="BK95" s="95">
        <f t="shared" ref="BK95" si="7">SUM(BK87:BK94)</f>
        <v>5238914.37</v>
      </c>
    </row>
    <row r="96" spans="1:63" s="92" customFormat="1" ht="14.25" customHeight="1" x14ac:dyDescent="0.2">
      <c r="A96" s="132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4"/>
      <c r="AY96" s="105">
        <v>2010</v>
      </c>
      <c r="AZ96" s="106" t="s">
        <v>168</v>
      </c>
      <c r="BA96" s="147"/>
      <c r="BB96" s="147"/>
      <c r="BC96" s="147"/>
      <c r="BD96" s="147"/>
      <c r="BE96" s="147"/>
      <c r="BF96" s="147"/>
      <c r="BG96" s="205"/>
      <c r="BH96" s="93"/>
      <c r="BI96" s="97">
        <f>BE58-BI95</f>
        <v>0</v>
      </c>
      <c r="BJ96" s="97">
        <f>(BB58+BC58)-BJ95</f>
        <v>0</v>
      </c>
      <c r="BK96" s="96">
        <f>BA58-BK95</f>
        <v>0</v>
      </c>
    </row>
    <row r="97" spans="1:64" s="92" customFormat="1" ht="14.25" customHeight="1" x14ac:dyDescent="0.2">
      <c r="A97" s="132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4"/>
      <c r="AY97" s="105">
        <v>2010</v>
      </c>
      <c r="AZ97" s="106" t="s">
        <v>169</v>
      </c>
      <c r="BA97" s="147"/>
      <c r="BB97" s="147"/>
      <c r="BC97" s="147"/>
      <c r="BD97" s="147"/>
      <c r="BE97" s="147"/>
      <c r="BF97" s="147"/>
      <c r="BG97" s="205"/>
    </row>
    <row r="98" spans="1:64" s="92" customFormat="1" ht="14.25" customHeight="1" x14ac:dyDescent="0.2">
      <c r="A98" s="132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4"/>
      <c r="AY98" s="105">
        <v>2010</v>
      </c>
      <c r="AZ98" s="106" t="s">
        <v>181</v>
      </c>
      <c r="BA98" s="147"/>
      <c r="BB98" s="147"/>
      <c r="BC98" s="147"/>
      <c r="BD98" s="147"/>
      <c r="BE98" s="147"/>
      <c r="BF98" s="147"/>
      <c r="BG98" s="205"/>
      <c r="BH98" s="93" t="s">
        <v>186</v>
      </c>
      <c r="BI98" s="93" t="s">
        <v>184</v>
      </c>
      <c r="BJ98" s="93" t="s">
        <v>252</v>
      </c>
      <c r="BK98" s="98" t="s">
        <v>251</v>
      </c>
    </row>
    <row r="99" spans="1:64" s="92" customFormat="1" ht="14.25" customHeight="1" x14ac:dyDescent="0.2">
      <c r="A99" s="132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4"/>
      <c r="AY99" s="105">
        <v>2010</v>
      </c>
      <c r="AZ99" s="106" t="s">
        <v>170</v>
      </c>
      <c r="BA99" s="147"/>
      <c r="BB99" s="147"/>
      <c r="BC99" s="147"/>
      <c r="BD99" s="147"/>
      <c r="BE99" s="147">
        <f>30000-30000</f>
        <v>0</v>
      </c>
      <c r="BF99" s="147"/>
      <c r="BG99" s="205"/>
      <c r="BH99" s="93" t="s">
        <v>178</v>
      </c>
      <c r="BI99" s="99">
        <f>BE88+BE100</f>
        <v>141156.29999999999</v>
      </c>
      <c r="BJ99" s="99">
        <f>BB60+BB69+BC81</f>
        <v>1766731.4700000002</v>
      </c>
      <c r="BK99" s="99">
        <f>BJ99-BI117</f>
        <v>1766731.4700000002</v>
      </c>
      <c r="BL99" s="141">
        <f>BI99+BJ99</f>
        <v>1907887.7700000003</v>
      </c>
    </row>
    <row r="100" spans="1:64" s="92" customFormat="1" ht="14.25" customHeight="1" x14ac:dyDescent="0.2">
      <c r="A100" s="132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4" t="s">
        <v>178</v>
      </c>
      <c r="AY100" s="105">
        <v>2011</v>
      </c>
      <c r="AZ100" s="106" t="s">
        <v>173</v>
      </c>
      <c r="BA100" s="147"/>
      <c r="BB100" s="147"/>
      <c r="BC100" s="147"/>
      <c r="BD100" s="147"/>
      <c r="BE100" s="147">
        <f>60000+68127.84</f>
        <v>128127.84</v>
      </c>
      <c r="BF100" s="147"/>
      <c r="BG100" s="205"/>
      <c r="BH100" s="93" t="s">
        <v>179</v>
      </c>
      <c r="BI100" s="99">
        <f>BE89+BE101</f>
        <v>54244.240000000005</v>
      </c>
      <c r="BJ100" s="99">
        <f>BB61+BB70</f>
        <v>942788.99</v>
      </c>
      <c r="BK100" s="99">
        <f>BJ100-BI118</f>
        <v>942788.99</v>
      </c>
      <c r="BL100" s="141">
        <f t="shared" ref="BL100:BL102" si="8">BI100+BJ100</f>
        <v>997033.23</v>
      </c>
    </row>
    <row r="101" spans="1:64" s="92" customFormat="1" ht="14.25" customHeight="1" x14ac:dyDescent="0.2">
      <c r="A101" s="132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4" t="s">
        <v>179</v>
      </c>
      <c r="AY101" s="105">
        <v>2011</v>
      </c>
      <c r="AZ101" s="106" t="s">
        <v>173</v>
      </c>
      <c r="BA101" s="147"/>
      <c r="BB101" s="147"/>
      <c r="BC101" s="147"/>
      <c r="BD101" s="147"/>
      <c r="BE101" s="147">
        <f>34000</f>
        <v>34000</v>
      </c>
      <c r="BF101" s="147"/>
      <c r="BG101" s="205"/>
      <c r="BH101" s="93" t="s">
        <v>180</v>
      </c>
      <c r="BI101" s="99">
        <f>BE90+BE102</f>
        <v>8097.7099999999991</v>
      </c>
      <c r="BJ101" s="99">
        <f>BB62+BB71+BC82</f>
        <v>105227.20000000001</v>
      </c>
      <c r="BK101" s="99">
        <f>BJ101-BI119</f>
        <v>105227.20000000001</v>
      </c>
      <c r="BL101" s="141">
        <f t="shared" si="8"/>
        <v>113324.91</v>
      </c>
    </row>
    <row r="102" spans="1:64" s="92" customFormat="1" ht="14.25" customHeight="1" x14ac:dyDescent="0.2">
      <c r="A102" s="132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4" t="s">
        <v>180</v>
      </c>
      <c r="AY102" s="105">
        <v>2011</v>
      </c>
      <c r="AZ102" s="106" t="s">
        <v>173</v>
      </c>
      <c r="BA102" s="147"/>
      <c r="BB102" s="147"/>
      <c r="BC102" s="147"/>
      <c r="BD102" s="147"/>
      <c r="BE102" s="147">
        <f>6000+97.69</f>
        <v>6097.69</v>
      </c>
      <c r="BF102" s="147"/>
      <c r="BG102" s="205"/>
      <c r="BH102" s="93"/>
      <c r="BI102" s="99">
        <f>SUM(BI99:BI101)</f>
        <v>203498.24999999997</v>
      </c>
      <c r="BJ102" s="99">
        <f>SUM(BJ99:BJ101)</f>
        <v>2814747.66</v>
      </c>
      <c r="BK102" s="99">
        <f>SUM(BK99:BK101)</f>
        <v>2814747.66</v>
      </c>
      <c r="BL102" s="141">
        <f t="shared" si="8"/>
        <v>3018245.91</v>
      </c>
    </row>
    <row r="103" spans="1:64" s="92" customFormat="1" ht="14.25" customHeight="1" x14ac:dyDescent="0.2">
      <c r="A103" s="249"/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0"/>
      <c r="AL103" s="220"/>
      <c r="AM103" s="220"/>
      <c r="AN103" s="220"/>
      <c r="AO103" s="220"/>
      <c r="AP103" s="220"/>
      <c r="AQ103" s="220"/>
      <c r="AR103" s="220"/>
      <c r="AS103" s="220"/>
      <c r="AT103" s="220"/>
      <c r="AU103" s="220"/>
      <c r="AV103" s="220"/>
      <c r="AW103" s="220"/>
      <c r="AX103" s="221"/>
      <c r="AY103" s="105">
        <v>2019</v>
      </c>
      <c r="AZ103" s="106" t="s">
        <v>164</v>
      </c>
      <c r="BA103" s="147"/>
      <c r="BB103" s="147"/>
      <c r="BC103" s="147"/>
      <c r="BD103" s="147"/>
      <c r="BE103" s="147">
        <f>10000+16472.32</f>
        <v>26472.32</v>
      </c>
      <c r="BF103" s="147"/>
      <c r="BG103" s="205"/>
      <c r="BH103" s="93"/>
      <c r="BI103" s="266">
        <f>BI102+BJ102</f>
        <v>3018245.91</v>
      </c>
      <c r="BJ103" s="267"/>
      <c r="BK103" s="141">
        <f>BK89-BI103</f>
        <v>0</v>
      </c>
    </row>
    <row r="104" spans="1:64" s="92" customFormat="1" ht="14.25" customHeight="1" x14ac:dyDescent="0.2">
      <c r="A104" s="249"/>
      <c r="B104" s="220"/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220"/>
      <c r="AR104" s="220"/>
      <c r="AS104" s="220"/>
      <c r="AT104" s="220"/>
      <c r="AU104" s="220"/>
      <c r="AV104" s="220"/>
      <c r="AW104" s="220"/>
      <c r="AX104" s="221"/>
      <c r="AY104" s="105">
        <v>2019</v>
      </c>
      <c r="AZ104" s="106" t="s">
        <v>168</v>
      </c>
      <c r="BA104" s="147"/>
      <c r="BB104" s="147"/>
      <c r="BC104" s="147"/>
      <c r="BD104" s="147"/>
      <c r="BE104" s="147">
        <f>20000+40-7250</f>
        <v>12790</v>
      </c>
      <c r="BF104" s="147"/>
      <c r="BG104" s="205"/>
    </row>
    <row r="105" spans="1:64" s="92" customFormat="1" ht="14.25" customHeight="1" x14ac:dyDescent="0.2">
      <c r="A105" s="249"/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  <c r="AJ105" s="220"/>
      <c r="AK105" s="220"/>
      <c r="AL105" s="220"/>
      <c r="AM105" s="220"/>
      <c r="AN105" s="220"/>
      <c r="AO105" s="220"/>
      <c r="AP105" s="220"/>
      <c r="AQ105" s="220"/>
      <c r="AR105" s="220"/>
      <c r="AS105" s="220"/>
      <c r="AT105" s="220"/>
      <c r="AU105" s="220"/>
      <c r="AV105" s="220"/>
      <c r="AW105" s="220"/>
      <c r="AX105" s="221"/>
      <c r="AY105" s="105">
        <v>2019</v>
      </c>
      <c r="AZ105" s="106" t="s">
        <v>169</v>
      </c>
      <c r="BA105" s="147"/>
      <c r="BB105" s="147"/>
      <c r="BC105" s="147"/>
      <c r="BD105" s="147"/>
      <c r="BE105" s="147">
        <f>99000+1109.7-40822.32</f>
        <v>59287.38</v>
      </c>
      <c r="BF105" s="147"/>
      <c r="BG105" s="205"/>
    </row>
    <row r="106" spans="1:64" s="92" customFormat="1" ht="14.25" customHeight="1" x14ac:dyDescent="0.2">
      <c r="A106" s="132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4"/>
      <c r="AY106" s="105">
        <f>2019</f>
        <v>2019</v>
      </c>
      <c r="AZ106" s="106" t="s">
        <v>181</v>
      </c>
      <c r="BA106" s="147"/>
      <c r="BB106" s="147"/>
      <c r="BC106" s="147"/>
      <c r="BD106" s="147"/>
      <c r="BE106" s="147">
        <f>20000-20000</f>
        <v>0</v>
      </c>
      <c r="BF106" s="147"/>
      <c r="BG106" s="205"/>
      <c r="BH106" s="100" t="s">
        <v>220</v>
      </c>
      <c r="BI106" s="100"/>
      <c r="BJ106" s="100"/>
    </row>
    <row r="107" spans="1:64" s="92" customFormat="1" ht="14.25" customHeight="1" x14ac:dyDescent="0.2">
      <c r="A107" s="249"/>
      <c r="B107" s="220"/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220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1"/>
      <c r="AY107" s="105">
        <v>2019</v>
      </c>
      <c r="AZ107" s="106" t="s">
        <v>170</v>
      </c>
      <c r="BA107" s="147"/>
      <c r="BB107" s="147"/>
      <c r="BC107" s="147"/>
      <c r="BD107" s="147"/>
      <c r="BE107" s="147">
        <f>13000+582.12+51600-5680.8</f>
        <v>59501.32</v>
      </c>
      <c r="BF107" s="147"/>
      <c r="BG107" s="205"/>
      <c r="BH107" s="101">
        <v>2001</v>
      </c>
      <c r="BI107" s="102">
        <v>62473.8</v>
      </c>
      <c r="BJ107" s="268">
        <f>BI107+BI108+BI109+BI110+BI111+BI112+BI113</f>
        <v>748946.67</v>
      </c>
    </row>
    <row r="108" spans="1:64" s="92" customFormat="1" ht="14.25" customHeight="1" x14ac:dyDescent="0.2">
      <c r="A108" s="249"/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1"/>
      <c r="AY108" s="105">
        <f>2032</f>
        <v>2032</v>
      </c>
      <c r="AZ108" s="106" t="s">
        <v>170</v>
      </c>
      <c r="BA108" s="147"/>
      <c r="BB108" s="147"/>
      <c r="BC108" s="147"/>
      <c r="BD108" s="147"/>
      <c r="BE108" s="147">
        <v>0</v>
      </c>
      <c r="BF108" s="147"/>
      <c r="BG108" s="205"/>
      <c r="BH108" s="101">
        <v>2010</v>
      </c>
      <c r="BI108" s="102"/>
      <c r="BJ108" s="269"/>
    </row>
    <row r="109" spans="1:64" ht="12.75" x14ac:dyDescent="0.2">
      <c r="A109" s="6"/>
      <c r="B109" s="7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9"/>
      <c r="AY109" s="8"/>
      <c r="AZ109" s="73"/>
      <c r="BA109" s="145"/>
      <c r="BB109" s="146"/>
      <c r="BC109" s="146"/>
      <c r="BD109" s="146"/>
      <c r="BE109" s="146"/>
      <c r="BF109" s="146"/>
      <c r="BH109" s="101">
        <v>2011</v>
      </c>
      <c r="BI109" s="102">
        <v>68225.53</v>
      </c>
      <c r="BJ109" s="269"/>
    </row>
    <row r="110" spans="1:64" ht="12.75" x14ac:dyDescent="0.2">
      <c r="A110" s="131"/>
      <c r="B110" s="138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9"/>
      <c r="AY110" s="8"/>
      <c r="AZ110" s="73"/>
      <c r="BA110" s="145"/>
      <c r="BB110" s="146"/>
      <c r="BC110" s="146"/>
      <c r="BD110" s="146"/>
      <c r="BE110" s="146"/>
      <c r="BF110" s="146"/>
      <c r="BH110" s="101">
        <v>2019</v>
      </c>
      <c r="BI110" s="102">
        <v>1731.82</v>
      </c>
      <c r="BJ110" s="269"/>
    </row>
    <row r="111" spans="1:64" ht="12.75" x14ac:dyDescent="0.2">
      <c r="A111" s="5"/>
      <c r="B111" s="218" t="s">
        <v>46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9"/>
      <c r="AY111" s="8">
        <v>300</v>
      </c>
      <c r="AZ111" s="73" t="s">
        <v>28</v>
      </c>
      <c r="BA111" s="145">
        <f t="shared" ref="BA111:BA116" si="9">BB111+BC111+BD111+BF111</f>
        <v>0</v>
      </c>
      <c r="BB111" s="146"/>
      <c r="BC111" s="146"/>
      <c r="BD111" s="146"/>
      <c r="BE111" s="146"/>
      <c r="BF111" s="146"/>
      <c r="BH111" s="101">
        <f>2026</f>
        <v>2026</v>
      </c>
      <c r="BI111" s="102">
        <v>411</v>
      </c>
      <c r="BJ111" s="270"/>
    </row>
    <row r="112" spans="1:64" ht="12.75" x14ac:dyDescent="0.2">
      <c r="A112" s="6"/>
      <c r="B112" s="7"/>
      <c r="C112" s="218" t="s">
        <v>47</v>
      </c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9"/>
      <c r="AY112" s="8">
        <v>310</v>
      </c>
      <c r="AZ112" s="73"/>
      <c r="BA112" s="145">
        <f t="shared" si="9"/>
        <v>0</v>
      </c>
      <c r="BB112" s="146"/>
      <c r="BC112" s="146"/>
      <c r="BD112" s="146"/>
      <c r="BE112" s="146"/>
      <c r="BF112" s="146"/>
      <c r="BH112" s="101">
        <v>2021</v>
      </c>
      <c r="BI112" s="102"/>
      <c r="BJ112" s="108"/>
    </row>
    <row r="113" spans="1:62" ht="12.75" x14ac:dyDescent="0.2">
      <c r="A113" s="131"/>
      <c r="B113" s="138"/>
      <c r="C113" s="218" t="s">
        <v>48</v>
      </c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218"/>
      <c r="AJ113" s="218"/>
      <c r="AK113" s="218"/>
      <c r="AL113" s="218"/>
      <c r="AM113" s="218"/>
      <c r="AN113" s="218"/>
      <c r="AO113" s="218"/>
      <c r="AP113" s="218"/>
      <c r="AQ113" s="218"/>
      <c r="AR113" s="218"/>
      <c r="AS113" s="218"/>
      <c r="AT113" s="218"/>
      <c r="AU113" s="218"/>
      <c r="AV113" s="218"/>
      <c r="AW113" s="218"/>
      <c r="AX113" s="219"/>
      <c r="AY113" s="8">
        <v>320</v>
      </c>
      <c r="AZ113" s="73"/>
      <c r="BA113" s="145">
        <f t="shared" si="9"/>
        <v>0</v>
      </c>
      <c r="BB113" s="146"/>
      <c r="BC113" s="146"/>
      <c r="BD113" s="146"/>
      <c r="BE113" s="146"/>
      <c r="BF113" s="146"/>
      <c r="BH113" s="101">
        <v>4000</v>
      </c>
      <c r="BI113" s="102">
        <f>616104.52</f>
        <v>616104.52</v>
      </c>
      <c r="BJ113" s="108"/>
    </row>
    <row r="114" spans="1:62" ht="12.75" x14ac:dyDescent="0.2">
      <c r="A114" s="131"/>
      <c r="B114" s="138"/>
      <c r="C114" s="218" t="s">
        <v>49</v>
      </c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18"/>
      <c r="AJ114" s="218"/>
      <c r="AK114" s="218"/>
      <c r="AL114" s="218"/>
      <c r="AM114" s="218"/>
      <c r="AN114" s="218"/>
      <c r="AO114" s="218"/>
      <c r="AP114" s="218"/>
      <c r="AQ114" s="218"/>
      <c r="AR114" s="218"/>
      <c r="AS114" s="218"/>
      <c r="AT114" s="218"/>
      <c r="AU114" s="218"/>
      <c r="AV114" s="218"/>
      <c r="AW114" s="218"/>
      <c r="AX114" s="219"/>
      <c r="AY114" s="8">
        <v>400</v>
      </c>
      <c r="AZ114" s="73"/>
      <c r="BA114" s="145">
        <f t="shared" si="9"/>
        <v>0</v>
      </c>
      <c r="BB114" s="146"/>
      <c r="BC114" s="146"/>
      <c r="BD114" s="146"/>
      <c r="BE114" s="146"/>
      <c r="BF114" s="146"/>
      <c r="BH114" s="130"/>
      <c r="BI114" s="130"/>
      <c r="BJ114" s="130"/>
    </row>
    <row r="115" spans="1:62" ht="12.75" x14ac:dyDescent="0.2">
      <c r="A115" s="131"/>
      <c r="B115" s="138"/>
      <c r="C115" s="218" t="s">
        <v>50</v>
      </c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18"/>
      <c r="AH115" s="218"/>
      <c r="AI115" s="218"/>
      <c r="AJ115" s="218"/>
      <c r="AK115" s="218"/>
      <c r="AL115" s="218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9"/>
      <c r="AY115" s="8">
        <v>410</v>
      </c>
      <c r="AZ115" s="73"/>
      <c r="BA115" s="145">
        <f t="shared" si="9"/>
        <v>0</v>
      </c>
      <c r="BB115" s="146"/>
      <c r="BC115" s="146"/>
      <c r="BD115" s="146"/>
      <c r="BE115" s="146"/>
      <c r="BF115" s="146"/>
      <c r="BH115" s="130"/>
      <c r="BI115" s="130"/>
      <c r="BJ115" s="130"/>
    </row>
    <row r="116" spans="1:62" ht="12.75" x14ac:dyDescent="0.2">
      <c r="A116" s="131"/>
      <c r="B116" s="138"/>
      <c r="C116" s="218" t="s">
        <v>51</v>
      </c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8"/>
      <c r="AJ116" s="218"/>
      <c r="AK116" s="218"/>
      <c r="AL116" s="218"/>
      <c r="AM116" s="218"/>
      <c r="AN116" s="218"/>
      <c r="AO116" s="218"/>
      <c r="AP116" s="218"/>
      <c r="AQ116" s="218"/>
      <c r="AR116" s="218"/>
      <c r="AS116" s="218"/>
      <c r="AT116" s="218"/>
      <c r="AU116" s="218"/>
      <c r="AV116" s="218"/>
      <c r="AW116" s="218"/>
      <c r="AX116" s="219"/>
      <c r="AY116" s="8">
        <v>420</v>
      </c>
      <c r="AZ116" s="73"/>
      <c r="BA116" s="145">
        <f t="shared" si="9"/>
        <v>0</v>
      </c>
      <c r="BB116" s="146"/>
      <c r="BC116" s="146"/>
      <c r="BD116" s="146"/>
      <c r="BE116" s="146"/>
      <c r="BF116" s="146"/>
      <c r="BH116" s="127"/>
      <c r="BI116" s="128"/>
      <c r="BJ116" s="130"/>
    </row>
    <row r="117" spans="1:62" ht="12.75" x14ac:dyDescent="0.2">
      <c r="A117" s="131"/>
      <c r="B117" s="271" t="s">
        <v>22</v>
      </c>
      <c r="C117" s="208" t="s">
        <v>11</v>
      </c>
      <c r="D117" s="208"/>
      <c r="E117" s="208"/>
      <c r="F117" s="208"/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208"/>
      <c r="AR117" s="208"/>
      <c r="AS117" s="208"/>
      <c r="AT117" s="208"/>
      <c r="AU117" s="208"/>
      <c r="AV117" s="208"/>
      <c r="AW117" s="208"/>
      <c r="AX117" s="209"/>
      <c r="AY117" s="12" t="s">
        <v>23</v>
      </c>
      <c r="AZ117" s="73" t="s">
        <v>28</v>
      </c>
      <c r="BA117" s="145">
        <f>BB117+BC117+BD117+BE117</f>
        <v>748946.67</v>
      </c>
      <c r="BB117" s="149">
        <f>488717.38+127387.14</f>
        <v>616104.52</v>
      </c>
      <c r="BC117" s="149">
        <v>0</v>
      </c>
      <c r="BD117" s="149">
        <v>0</v>
      </c>
      <c r="BE117" s="149">
        <f>132842.15</f>
        <v>132842.15</v>
      </c>
      <c r="BF117" s="149">
        <v>0</v>
      </c>
      <c r="BH117" s="127"/>
      <c r="BI117" s="129"/>
      <c r="BJ117" s="130"/>
    </row>
    <row r="118" spans="1:62" ht="12.75" x14ac:dyDescent="0.2">
      <c r="A118" s="131"/>
      <c r="B118" s="262" t="s">
        <v>24</v>
      </c>
      <c r="C118" s="263" t="s">
        <v>11</v>
      </c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  <c r="U118" s="263"/>
      <c r="V118" s="263"/>
      <c r="W118" s="263"/>
      <c r="X118" s="263"/>
      <c r="Y118" s="263"/>
      <c r="Z118" s="263"/>
      <c r="AA118" s="263"/>
      <c r="AB118" s="263"/>
      <c r="AC118" s="263"/>
      <c r="AD118" s="263"/>
      <c r="AE118" s="263"/>
      <c r="AF118" s="263"/>
      <c r="AG118" s="263"/>
      <c r="AH118" s="263"/>
      <c r="AI118" s="263"/>
      <c r="AJ118" s="263"/>
      <c r="AK118" s="263"/>
      <c r="AL118" s="263"/>
      <c r="AM118" s="263"/>
      <c r="AN118" s="263"/>
      <c r="AO118" s="263"/>
      <c r="AP118" s="263"/>
      <c r="AQ118" s="263"/>
      <c r="AR118" s="263"/>
      <c r="AS118" s="263"/>
      <c r="AT118" s="263"/>
      <c r="AU118" s="263"/>
      <c r="AV118" s="263"/>
      <c r="AW118" s="263"/>
      <c r="AX118" s="263"/>
      <c r="AY118" s="136" t="s">
        <v>25</v>
      </c>
      <c r="AZ118" s="73" t="s">
        <v>28</v>
      </c>
      <c r="BA118" s="145">
        <f>BB118+BC118+BD118+BF118</f>
        <v>0</v>
      </c>
      <c r="BB118" s="146"/>
      <c r="BC118" s="146"/>
      <c r="BD118" s="146"/>
      <c r="BE118" s="146"/>
      <c r="BF118" s="146"/>
      <c r="BH118" s="127"/>
      <c r="BI118" s="129"/>
    </row>
    <row r="119" spans="1:62" ht="12.75" x14ac:dyDescent="0.2">
      <c r="A119" s="112"/>
      <c r="B119" s="119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6"/>
      <c r="AZ119" s="117"/>
      <c r="BA119" s="118"/>
      <c r="BB119" s="114"/>
      <c r="BC119" s="114"/>
      <c r="BD119" s="114"/>
      <c r="BE119" s="114"/>
      <c r="BF119" s="114"/>
      <c r="BH119" s="127"/>
      <c r="BI119" s="129"/>
    </row>
    <row r="120" spans="1:62" ht="12.75" x14ac:dyDescent="0.2">
      <c r="A120" s="112"/>
      <c r="B120" s="113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6"/>
      <c r="AZ120" s="117"/>
      <c r="BA120" s="118"/>
      <c r="BB120" s="114"/>
      <c r="BC120" s="114"/>
      <c r="BD120" s="114"/>
      <c r="BE120" s="114"/>
      <c r="BF120" s="114"/>
      <c r="BH120" s="127"/>
      <c r="BI120" s="129"/>
    </row>
    <row r="121" spans="1:62" ht="12.75" x14ac:dyDescent="0.2">
      <c r="A121" s="264" t="s">
        <v>57</v>
      </c>
      <c r="B121" s="264"/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65"/>
      <c r="U121" s="265"/>
      <c r="V121" s="265"/>
      <c r="W121" s="265"/>
      <c r="X121" s="265"/>
      <c r="Y121" s="265"/>
      <c r="Z121" s="265"/>
      <c r="AA121" s="265"/>
      <c r="AB121" s="265"/>
      <c r="AC121" s="265"/>
      <c r="AD121" s="265"/>
      <c r="AE121" s="265"/>
      <c r="AF121" s="265"/>
      <c r="AG121" s="265"/>
      <c r="AH121" s="265"/>
      <c r="AI121" s="265"/>
      <c r="AJ121" s="265"/>
      <c r="AK121" s="265"/>
      <c r="AL121" s="265"/>
      <c r="AM121" s="265"/>
      <c r="AN121" s="265"/>
      <c r="AO121" s="265"/>
      <c r="AP121" s="265"/>
      <c r="AQ121" s="265"/>
      <c r="AR121" s="265"/>
      <c r="AS121" s="265"/>
      <c r="AT121" s="265"/>
      <c r="AU121" s="265"/>
      <c r="AV121" s="265"/>
      <c r="AW121" s="265"/>
      <c r="AX121" s="265"/>
      <c r="BA121" s="109">
        <f t="shared" ref="BA121:BF121" si="10">BA30-BA9-BA117</f>
        <v>1.7462298274040222E-9</v>
      </c>
      <c r="BB121" s="109">
        <f t="shared" si="10"/>
        <v>0</v>
      </c>
      <c r="BC121" s="109">
        <f t="shared" si="10"/>
        <v>2.3283064365386963E-10</v>
      </c>
      <c r="BD121" s="109">
        <f t="shared" si="10"/>
        <v>0</v>
      </c>
      <c r="BE121" s="109">
        <f t="shared" si="10"/>
        <v>0</v>
      </c>
      <c r="BF121" s="109">
        <f t="shared" si="10"/>
        <v>0</v>
      </c>
      <c r="BG121" s="9"/>
    </row>
    <row r="122" spans="1:62" ht="10.15" customHeight="1" x14ac:dyDescent="0.2">
      <c r="BG122" s="9"/>
    </row>
    <row r="123" spans="1:62" ht="10.15" customHeight="1" x14ac:dyDescent="0.2">
      <c r="BG123" s="9"/>
    </row>
    <row r="124" spans="1:62" ht="12.75" x14ac:dyDescent="0.2">
      <c r="BB124" s="111"/>
      <c r="BG124" s="9"/>
    </row>
    <row r="125" spans="1:62" ht="10.15" customHeight="1" x14ac:dyDescent="0.2">
      <c r="BG125" s="9"/>
    </row>
    <row r="126" spans="1:62" ht="10.15" customHeight="1" x14ac:dyDescent="0.2">
      <c r="BG126" s="9"/>
    </row>
    <row r="129" spans="59:59" ht="10.15" customHeight="1" x14ac:dyDescent="0.2">
      <c r="BG129" s="9"/>
    </row>
    <row r="130" spans="59:59" ht="10.15" customHeight="1" x14ac:dyDescent="0.2">
      <c r="BG130" s="9"/>
    </row>
    <row r="132" spans="59:59" ht="10.15" customHeight="1" x14ac:dyDescent="0.2">
      <c r="BG132" s="9"/>
    </row>
  </sheetData>
  <mergeCells count="106">
    <mergeCell ref="A82:AX82"/>
    <mergeCell ref="BG13:BG16"/>
    <mergeCell ref="B118:AX118"/>
    <mergeCell ref="A121:AX121"/>
    <mergeCell ref="C40:AX40"/>
    <mergeCell ref="C41:AX41"/>
    <mergeCell ref="C112:AX112"/>
    <mergeCell ref="C113:AX113"/>
    <mergeCell ref="C114:AX114"/>
    <mergeCell ref="C115:AX115"/>
    <mergeCell ref="C116:AX116"/>
    <mergeCell ref="B117:AX117"/>
    <mergeCell ref="A105:AX105"/>
    <mergeCell ref="A107:AX107"/>
    <mergeCell ref="A84:AX84"/>
    <mergeCell ref="A85:AX85"/>
    <mergeCell ref="A86:AX86"/>
    <mergeCell ref="A103:AX103"/>
    <mergeCell ref="B58:AX58"/>
    <mergeCell ref="A59:AX59"/>
    <mergeCell ref="A64:AX64"/>
    <mergeCell ref="A65:AX65"/>
    <mergeCell ref="A53:AX53"/>
    <mergeCell ref="C54:AX54"/>
    <mergeCell ref="C55:AX55"/>
    <mergeCell ref="BJ107:BJ111"/>
    <mergeCell ref="A108:AX108"/>
    <mergeCell ref="C109:AX109"/>
    <mergeCell ref="C110:AX110"/>
    <mergeCell ref="B111:AX111"/>
    <mergeCell ref="BI103:BJ103"/>
    <mergeCell ref="A104:AX104"/>
    <mergeCell ref="A66:AX67"/>
    <mergeCell ref="A78:AX78"/>
    <mergeCell ref="A79:AX79"/>
    <mergeCell ref="A80:AX80"/>
    <mergeCell ref="A68:AX68"/>
    <mergeCell ref="A69:AX69"/>
    <mergeCell ref="A70:AX70"/>
    <mergeCell ref="A71:AX71"/>
    <mergeCell ref="AY59:AY67"/>
    <mergeCell ref="BG59:BG108"/>
    <mergeCell ref="A60:AX60"/>
    <mergeCell ref="A61:AX61"/>
    <mergeCell ref="A62:AX62"/>
    <mergeCell ref="A63:AX63"/>
    <mergeCell ref="AY68:AY77"/>
    <mergeCell ref="A83:AX83"/>
    <mergeCell ref="A81:AX81"/>
    <mergeCell ref="C57:AX57"/>
    <mergeCell ref="A52:AX52"/>
    <mergeCell ref="C39:AX39"/>
    <mergeCell ref="C42:AX42"/>
    <mergeCell ref="B43:AX43"/>
    <mergeCell ref="C44:AX44"/>
    <mergeCell ref="C45:AX45"/>
    <mergeCell ref="C46:AX46"/>
    <mergeCell ref="C47:AX47"/>
    <mergeCell ref="A48:AX48"/>
    <mergeCell ref="B49:AX49"/>
    <mergeCell ref="C50:AX50"/>
    <mergeCell ref="A51:AX51"/>
    <mergeCell ref="C56:AX56"/>
    <mergeCell ref="A17:AX17"/>
    <mergeCell ref="B18:AX18"/>
    <mergeCell ref="C36:AX36"/>
    <mergeCell ref="B25:AX25"/>
    <mergeCell ref="A26:AX26"/>
    <mergeCell ref="A27:AX27"/>
    <mergeCell ref="B28:AX28"/>
    <mergeCell ref="B29:AX29"/>
    <mergeCell ref="B30:AX30"/>
    <mergeCell ref="B31:AX31"/>
    <mergeCell ref="B32:AX32"/>
    <mergeCell ref="C33:AX33"/>
    <mergeCell ref="C34:AX34"/>
    <mergeCell ref="C35:AX35"/>
    <mergeCell ref="B19:AX19"/>
    <mergeCell ref="B20:AX20"/>
    <mergeCell ref="A21:AX21"/>
    <mergeCell ref="A24:AX24"/>
    <mergeCell ref="A23:AX23"/>
    <mergeCell ref="BG54:BK54"/>
    <mergeCell ref="B37:AX37"/>
    <mergeCell ref="B38:AX38"/>
    <mergeCell ref="A13:AX13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  <mergeCell ref="A22:AX22"/>
    <mergeCell ref="A14:AX14"/>
    <mergeCell ref="A15:AX15"/>
    <mergeCell ref="A16:AX16"/>
  </mergeCells>
  <pageMargins left="0.25" right="0.25" top="0.75" bottom="0.75" header="0.3" footer="0.3"/>
  <pageSetup paperSize="9" scale="40" orientation="portrait" verticalDpi="0" r:id="rId1"/>
  <rowBreaks count="1" manualBreakCount="1">
    <brk id="118" max="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тит</vt:lpstr>
      <vt:lpstr>2</vt:lpstr>
      <vt:lpstr>3</vt:lpstr>
      <vt:lpstr>3 (2)</vt:lpstr>
      <vt:lpstr>3 (3)</vt:lpstr>
      <vt:lpstr>4</vt:lpstr>
      <vt:lpstr>5</vt:lpstr>
      <vt:lpstr>3 с разбивкой утв</vt:lpstr>
      <vt:lpstr>'3'!IS_DOCUMENT</vt:lpstr>
      <vt:lpstr>'3 (2)'!IS_DOCUMENT</vt:lpstr>
      <vt:lpstr>'3 (3)'!IS_DOCUMENT</vt:lpstr>
      <vt:lpstr>'2'!Область_печати</vt:lpstr>
      <vt:lpstr>'3'!Область_печати</vt:lpstr>
      <vt:lpstr>'3 (2)'!Область_печати</vt:lpstr>
      <vt:lpstr>'3 (3)'!Область_печати</vt:lpstr>
      <vt:lpstr>'3 с разбивкой утв'!Область_печати</vt:lpstr>
      <vt:lpstr>'4'!Область_печати</vt:lpstr>
      <vt:lpstr>'5'!Область_печати</vt:lpstr>
      <vt:lpstr>тит!Область_печати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rep:2.38.4.79</dc:description>
  <cp:lastModifiedBy>User</cp:lastModifiedBy>
  <cp:lastPrinted>2018-04-28T06:05:50Z</cp:lastPrinted>
  <dcterms:created xsi:type="dcterms:W3CDTF">2016-04-19T05:14:21Z</dcterms:created>
  <dcterms:modified xsi:type="dcterms:W3CDTF">2018-04-28T06:05:51Z</dcterms:modified>
</cp:coreProperties>
</file>