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7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'3'!$A$1:$BF$119</definedName>
    <definedName name="_xlnm.Print_Area" localSheetId="3">'3 (2)'!$A$1:$BF$48</definedName>
    <definedName name="_xlnm.Print_Area" localSheetId="4">'3 (3)'!$A$1:$BF$48</definedName>
    <definedName name="_xlnm.Print_Area" localSheetId="7">'3 с разбивкой утв'!$A$1:$BK$119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44525"/>
</workbook>
</file>

<file path=xl/calcChain.xml><?xml version="1.0" encoding="utf-8"?>
<calcChain xmlns="http://schemas.openxmlformats.org/spreadsheetml/2006/main">
  <c r="BA119" i="2" l="1"/>
  <c r="BE118" i="2"/>
  <c r="BB118" i="2"/>
  <c r="BA118" i="2" s="1"/>
  <c r="BA117" i="2"/>
  <c r="BA116" i="2"/>
  <c r="BA115" i="2"/>
  <c r="BI114" i="2"/>
  <c r="BA114" i="2"/>
  <c r="BA113" i="2"/>
  <c r="BH112" i="2"/>
  <c r="BA112" i="2"/>
  <c r="AY109" i="2"/>
  <c r="BJ108" i="2"/>
  <c r="BE108" i="2"/>
  <c r="BE107" i="2"/>
  <c r="AY107" i="2"/>
  <c r="BE106" i="2"/>
  <c r="BE105" i="2"/>
  <c r="BE104" i="2"/>
  <c r="BE103" i="2"/>
  <c r="BE102" i="2"/>
  <c r="BE101" i="2"/>
  <c r="BE100" i="2"/>
  <c r="BE96" i="2"/>
  <c r="BE95" i="2"/>
  <c r="BI95" i="2" s="1"/>
  <c r="BJ94" i="2"/>
  <c r="BE94" i="2"/>
  <c r="BI94" i="2" s="1"/>
  <c r="BK94" i="2" s="1"/>
  <c r="BE93" i="2"/>
  <c r="BI92" i="2"/>
  <c r="BE92" i="2"/>
  <c r="BI91" i="2"/>
  <c r="BE91" i="2"/>
  <c r="BI102" i="2" s="1"/>
  <c r="BI90" i="2"/>
  <c r="BE90" i="2"/>
  <c r="BI101" i="2" s="1"/>
  <c r="BJ89" i="2"/>
  <c r="BI89" i="2"/>
  <c r="BE89" i="2"/>
  <c r="BI100" i="2" s="1"/>
  <c r="BI88" i="2"/>
  <c r="BE88" i="2"/>
  <c r="BC84" i="2"/>
  <c r="BC81" i="2"/>
  <c r="BC79" i="2"/>
  <c r="BC78" i="2"/>
  <c r="BJ93" i="2" s="1"/>
  <c r="BK93" i="2" s="1"/>
  <c r="BB73" i="2"/>
  <c r="BB72" i="2"/>
  <c r="BB71" i="2"/>
  <c r="BB70" i="2"/>
  <c r="BB69" i="2"/>
  <c r="BB65" i="2"/>
  <c r="BJ95" i="2" s="1"/>
  <c r="BB64" i="2"/>
  <c r="BJ92" i="2" s="1"/>
  <c r="BB63" i="2"/>
  <c r="BJ91" i="2" s="1"/>
  <c r="BB62" i="2"/>
  <c r="BJ102" i="2" s="1"/>
  <c r="BK102" i="2" s="1"/>
  <c r="BB61" i="2"/>
  <c r="BJ101" i="2" s="1"/>
  <c r="BK101" i="2" s="1"/>
  <c r="BB60" i="2"/>
  <c r="BJ100" i="2" s="1"/>
  <c r="BB59" i="2"/>
  <c r="BB58" i="2" s="1"/>
  <c r="BE58" i="2"/>
  <c r="BC58" i="2"/>
  <c r="BA57" i="2"/>
  <c r="BE54" i="2"/>
  <c r="BA54" i="2" s="1"/>
  <c r="BE53" i="2"/>
  <c r="BE50" i="2" s="1"/>
  <c r="BE46" i="2" s="1"/>
  <c r="BB52" i="2"/>
  <c r="BB51" i="2"/>
  <c r="BB50" i="2" s="1"/>
  <c r="BB49" i="2"/>
  <c r="BA49" i="2" s="1"/>
  <c r="BC48" i="2"/>
  <c r="BA48" i="2"/>
  <c r="BF46" i="2"/>
  <c r="BD46" i="2"/>
  <c r="BC46" i="2"/>
  <c r="BA45" i="2"/>
  <c r="BF43" i="2"/>
  <c r="BE43" i="2"/>
  <c r="BD43" i="2"/>
  <c r="BC43" i="2"/>
  <c r="BB43" i="2"/>
  <c r="BA43" i="2"/>
  <c r="BB42" i="2"/>
  <c r="BA42" i="2"/>
  <c r="BE40" i="2"/>
  <c r="BE39" i="2"/>
  <c r="BA39" i="2" s="1"/>
  <c r="BC39" i="2"/>
  <c r="BB39" i="2"/>
  <c r="BB37" i="2"/>
  <c r="BB36" i="2" s="1"/>
  <c r="BA36" i="2" s="1"/>
  <c r="BE36" i="2"/>
  <c r="BB34" i="2"/>
  <c r="BB33" i="2" s="1"/>
  <c r="BE33" i="2"/>
  <c r="BF32" i="2"/>
  <c r="BF31" i="2" s="1"/>
  <c r="BF30" i="2" s="1"/>
  <c r="BE32" i="2"/>
  <c r="BD32" i="2"/>
  <c r="BD31" i="2" s="1"/>
  <c r="BD30" i="2" s="1"/>
  <c r="BD122" i="2" s="1"/>
  <c r="BC32" i="2"/>
  <c r="BC31" i="2" s="1"/>
  <c r="BA28" i="2"/>
  <c r="BE25" i="2"/>
  <c r="BA25" i="2" s="1"/>
  <c r="BC23" i="2"/>
  <c r="BC22" i="2"/>
  <c r="BC21" i="2"/>
  <c r="BC20" i="2"/>
  <c r="BA20" i="2" s="1"/>
  <c r="BA19" i="2"/>
  <c r="BE18" i="2"/>
  <c r="BA18" i="2"/>
  <c r="BE17" i="2"/>
  <c r="BA17" i="2"/>
  <c r="BE16" i="2"/>
  <c r="BE12" i="2" s="1"/>
  <c r="BB14" i="2"/>
  <c r="BB12" i="2" s="1"/>
  <c r="BB13" i="2"/>
  <c r="BE10" i="2"/>
  <c r="BA10" i="2"/>
  <c r="BF9" i="2"/>
  <c r="BD9" i="2"/>
  <c r="BE88" i="12"/>
  <c r="BE54" i="12"/>
  <c r="BC81" i="12"/>
  <c r="BJ94" i="12"/>
  <c r="BC84" i="12"/>
  <c r="BK89" i="2" l="1"/>
  <c r="BE31" i="2"/>
  <c r="BE9" i="2"/>
  <c r="BF122" i="2"/>
  <c r="BL101" i="2"/>
  <c r="BC30" i="2"/>
  <c r="BL102" i="2"/>
  <c r="BA46" i="2"/>
  <c r="BA58" i="2"/>
  <c r="BK91" i="2"/>
  <c r="BB32" i="2"/>
  <c r="BB31" i="2" s="1"/>
  <c r="BA33" i="2"/>
  <c r="BA32" i="2" s="1"/>
  <c r="BA31" i="2" s="1"/>
  <c r="BB46" i="2"/>
  <c r="BA50" i="2"/>
  <c r="BK100" i="2"/>
  <c r="BK103" i="2" s="1"/>
  <c r="BJ103" i="2"/>
  <c r="BI96" i="2"/>
  <c r="BI97" i="2" s="1"/>
  <c r="BE30" i="2"/>
  <c r="BE122" i="2" s="1"/>
  <c r="BA12" i="2"/>
  <c r="BA9" i="2" s="1"/>
  <c r="BB9" i="2"/>
  <c r="BI103" i="2"/>
  <c r="BL100" i="2"/>
  <c r="BK92" i="2"/>
  <c r="BK95" i="2"/>
  <c r="BJ88" i="2"/>
  <c r="BK88" i="2" s="1"/>
  <c r="BJ90" i="2"/>
  <c r="BK90" i="2" s="1"/>
  <c r="BC9" i="2"/>
  <c r="BC122" i="2" s="1"/>
  <c r="BH69" i="2"/>
  <c r="BJ102" i="12"/>
  <c r="BJ100" i="12"/>
  <c r="BK100" i="12" s="1"/>
  <c r="BC48" i="12"/>
  <c r="BJ92" i="12"/>
  <c r="BJ91" i="12"/>
  <c r="BJ90" i="12"/>
  <c r="BC23" i="12"/>
  <c r="BB30" i="2" l="1"/>
  <c r="BA30" i="2"/>
  <c r="BA122" i="2" s="1"/>
  <c r="BB122" i="2"/>
  <c r="BK96" i="2"/>
  <c r="BK97" i="2" s="1"/>
  <c r="BL103" i="2"/>
  <c r="BI104" i="2"/>
  <c r="BK104" i="2" s="1"/>
  <c r="BJ96" i="2"/>
  <c r="BJ97" i="2" s="1"/>
  <c r="F24" i="5"/>
  <c r="E24" i="5"/>
  <c r="BE95" i="12"/>
  <c r="BE36" i="12"/>
  <c r="BE33" i="12"/>
  <c r="BE16" i="12"/>
  <c r="BG7" i="2" l="1"/>
  <c r="BA48" i="8"/>
  <c r="BA47" i="8"/>
  <c r="BA46" i="8"/>
  <c r="BA45" i="8"/>
  <c r="BA44" i="8"/>
  <c r="BA43" i="8"/>
  <c r="BA42" i="8"/>
  <c r="BA41" i="8"/>
  <c r="BE38" i="8"/>
  <c r="BB38" i="8"/>
  <c r="BA38" i="8" s="1"/>
  <c r="BA37" i="8"/>
  <c r="BE34" i="8"/>
  <c r="BE30" i="8" s="1"/>
  <c r="BB33" i="8"/>
  <c r="BA33" i="8"/>
  <c r="BB32" i="8"/>
  <c r="BB30" i="8" s="1"/>
  <c r="BF30" i="8"/>
  <c r="BD30" i="8"/>
  <c r="BC30" i="8"/>
  <c r="BA29" i="8"/>
  <c r="BA27" i="8" s="1"/>
  <c r="BF27" i="8"/>
  <c r="BE27" i="8"/>
  <c r="BD27" i="8"/>
  <c r="BC27" i="8"/>
  <c r="BB27" i="8"/>
  <c r="BB26" i="8"/>
  <c r="BA26" i="8"/>
  <c r="BE25" i="8"/>
  <c r="BC25" i="8"/>
  <c r="BB25" i="8"/>
  <c r="BA25" i="8"/>
  <c r="BE24" i="8"/>
  <c r="BB24" i="8"/>
  <c r="BA24" i="8"/>
  <c r="BE23" i="8"/>
  <c r="BE22" i="8" s="1"/>
  <c r="BE21" i="8" s="1"/>
  <c r="BB23" i="8"/>
  <c r="BA23" i="8" s="1"/>
  <c r="BA22" i="8" s="1"/>
  <c r="BA21" i="8" s="1"/>
  <c r="BF22" i="8"/>
  <c r="BF21" i="8" s="1"/>
  <c r="BF20" i="8" s="1"/>
  <c r="BF49" i="8" s="1"/>
  <c r="BD22" i="8"/>
  <c r="BC22" i="8"/>
  <c r="BB22" i="8"/>
  <c r="BB21" i="8" s="1"/>
  <c r="BB20" i="8" s="1"/>
  <c r="BB49" i="8" s="1"/>
  <c r="BD21" i="8"/>
  <c r="BD20" i="8" s="1"/>
  <c r="BD49" i="8" s="1"/>
  <c r="BC21" i="8"/>
  <c r="BC20" i="8" s="1"/>
  <c r="BC49" i="8" s="1"/>
  <c r="BA18" i="8"/>
  <c r="BA17" i="8"/>
  <c r="BC16" i="8"/>
  <c r="BA16" i="8"/>
  <c r="BA15" i="8"/>
  <c r="BE14" i="8"/>
  <c r="BA14" i="8"/>
  <c r="BE13" i="8"/>
  <c r="BA13" i="8" s="1"/>
  <c r="BE12" i="8"/>
  <c r="BB12" i="8"/>
  <c r="BA12" i="8"/>
  <c r="BE10" i="8"/>
  <c r="BA10" i="8" s="1"/>
  <c r="BA9" i="8" s="1"/>
  <c r="BF9" i="8"/>
  <c r="BD9" i="8"/>
  <c r="BC9" i="8"/>
  <c r="BB9" i="8"/>
  <c r="BA48" i="7"/>
  <c r="BA47" i="7"/>
  <c r="BA46" i="7"/>
  <c r="BA45" i="7"/>
  <c r="BA44" i="7"/>
  <c r="BA43" i="7"/>
  <c r="BA42" i="7"/>
  <c r="BA41" i="7"/>
  <c r="BE38" i="7"/>
  <c r="BC38" i="7"/>
  <c r="BB38" i="7"/>
  <c r="BA38" i="7" s="1"/>
  <c r="BA37" i="7"/>
  <c r="BE34" i="7"/>
  <c r="BA34" i="7"/>
  <c r="BB33" i="7"/>
  <c r="BA33" i="7"/>
  <c r="BB32" i="7"/>
  <c r="BA32" i="7"/>
  <c r="BF30" i="7"/>
  <c r="BE30" i="7"/>
  <c r="BD30" i="7"/>
  <c r="BC30" i="7"/>
  <c r="BB30" i="7"/>
  <c r="BA30" i="7"/>
  <c r="BA29" i="7"/>
  <c r="BA27" i="7" s="1"/>
  <c r="BF27" i="7"/>
  <c r="BE27" i="7"/>
  <c r="BD27" i="7"/>
  <c r="BC27" i="7"/>
  <c r="BB27" i="7"/>
  <c r="BB26" i="7"/>
  <c r="BA26" i="7" s="1"/>
  <c r="BE25" i="7"/>
  <c r="BC25" i="7"/>
  <c r="BB25" i="7"/>
  <c r="BA25" i="7" s="1"/>
  <c r="BE24" i="7"/>
  <c r="BE22" i="7" s="1"/>
  <c r="BE21" i="7" s="1"/>
  <c r="BE20" i="7" s="1"/>
  <c r="BE49" i="7" s="1"/>
  <c r="BB24" i="7"/>
  <c r="BA24" i="7"/>
  <c r="BE23" i="7"/>
  <c r="BB23" i="7"/>
  <c r="BA23" i="7" s="1"/>
  <c r="BA22" i="7" s="1"/>
  <c r="BA21" i="7" s="1"/>
  <c r="BA20" i="7" s="1"/>
  <c r="BF22" i="7"/>
  <c r="BF21" i="7" s="1"/>
  <c r="BF20" i="7" s="1"/>
  <c r="BF49" i="7" s="1"/>
  <c r="BD22" i="7"/>
  <c r="BD21" i="7" s="1"/>
  <c r="BD20" i="7" s="1"/>
  <c r="BD49" i="7" s="1"/>
  <c r="BC22" i="7"/>
  <c r="BB22" i="7"/>
  <c r="BC21" i="7"/>
  <c r="BC20" i="7" s="1"/>
  <c r="BC49" i="7" s="1"/>
  <c r="BB21" i="7"/>
  <c r="BB20" i="7" s="1"/>
  <c r="BA18" i="7"/>
  <c r="BA17" i="7"/>
  <c r="BC16" i="7"/>
  <c r="BA16" i="7" s="1"/>
  <c r="BA15" i="7"/>
  <c r="BE14" i="7"/>
  <c r="BA14" i="7"/>
  <c r="BE13" i="7"/>
  <c r="BA13" i="7"/>
  <c r="BE12" i="7"/>
  <c r="BB12" i="7"/>
  <c r="BA12" i="7" s="1"/>
  <c r="BE10" i="7"/>
  <c r="BA10" i="7" s="1"/>
  <c r="BA9" i="7" s="1"/>
  <c r="BG9" i="7" s="1"/>
  <c r="BF9" i="7"/>
  <c r="BE9" i="7"/>
  <c r="BD9" i="7"/>
  <c r="BC9" i="7"/>
  <c r="BE20" i="8" l="1"/>
  <c r="BE9" i="8"/>
  <c r="BA32" i="8"/>
  <c r="BA34" i="8"/>
  <c r="BA49" i="7"/>
  <c r="BB9" i="7"/>
  <c r="BB49" i="7" s="1"/>
  <c r="BE49" i="8" l="1"/>
  <c r="BA30" i="8"/>
  <c r="BA20" i="8" s="1"/>
  <c r="BA49" i="8" l="1"/>
  <c r="BG9" i="8"/>
  <c r="BE12" i="12" l="1"/>
  <c r="BE9" i="12" s="1"/>
  <c r="BA17" i="12"/>
  <c r="BB12" i="12"/>
  <c r="BB64" i="12" l="1"/>
  <c r="BB63" i="12"/>
  <c r="BB62" i="12"/>
  <c r="BB61" i="12"/>
  <c r="BB60" i="12"/>
  <c r="BB39" i="12"/>
  <c r="BB71" i="12"/>
  <c r="BB70" i="12"/>
  <c r="BB69" i="12"/>
  <c r="BB73" i="12"/>
  <c r="BB72" i="12"/>
  <c r="BE92" i="12"/>
  <c r="BB13" i="12" l="1"/>
  <c r="BB37" i="12"/>
  <c r="BB34" i="12"/>
  <c r="BE94" i="12" l="1"/>
  <c r="BE108" i="12"/>
  <c r="BE10" i="12"/>
  <c r="C9" i="4" l="1"/>
  <c r="C12" i="4" l="1"/>
  <c r="AY109" i="12" l="1"/>
  <c r="BE93" i="12"/>
  <c r="BE107" i="12"/>
  <c r="BE106" i="12"/>
  <c r="BE105" i="12"/>
  <c r="BE104" i="12"/>
  <c r="BB65" i="12"/>
  <c r="C24" i="4" l="1"/>
  <c r="C21" i="4"/>
  <c r="C20" i="4"/>
  <c r="C19" i="4"/>
  <c r="C16" i="4"/>
  <c r="C6" i="4" l="1"/>
  <c r="C10" i="4" l="1"/>
  <c r="C7" i="4"/>
  <c r="BB52" i="12" l="1"/>
  <c r="BI114" i="12" l="1"/>
  <c r="BH112" i="12"/>
  <c r="BE101" i="12" l="1"/>
  <c r="BE118" i="12"/>
  <c r="BE103" i="12" l="1"/>
  <c r="BE91" i="12"/>
  <c r="BE90" i="12"/>
  <c r="BE89" i="12"/>
  <c r="BB118" i="12"/>
  <c r="F18" i="5" l="1"/>
  <c r="E18" i="5"/>
  <c r="F21" i="5"/>
  <c r="E21" i="5"/>
  <c r="F17" i="5"/>
  <c r="E17" i="5"/>
  <c r="F16" i="5"/>
  <c r="E16" i="5"/>
  <c r="F14" i="5"/>
  <c r="E14" i="5"/>
  <c r="BH69" i="12"/>
  <c r="BB50" i="12"/>
  <c r="BB51" i="12"/>
  <c r="BB49" i="12"/>
  <c r="BB59" i="12"/>
  <c r="BB42" i="12"/>
  <c r="BB14" i="12"/>
  <c r="BC78" i="12"/>
  <c r="BC79" i="12"/>
  <c r="BC39" i="12"/>
  <c r="BC22" i="12"/>
  <c r="BC21" i="12"/>
  <c r="BE17" i="12"/>
  <c r="BE18" i="12"/>
  <c r="BE40" i="12"/>
  <c r="BE39" i="12"/>
  <c r="BI94" i="12"/>
  <c r="BJ93" i="12"/>
  <c r="AY107" i="12"/>
  <c r="BE96" i="12"/>
  <c r="BE102" i="12"/>
  <c r="F20" i="5"/>
  <c r="E20" i="5"/>
  <c r="BE53" i="12" l="1"/>
  <c r="BJ95" i="12" l="1"/>
  <c r="BB36" i="12" l="1"/>
  <c r="BE50" i="12" l="1"/>
  <c r="BJ89" i="12"/>
  <c r="BC58" i="12"/>
  <c r="BB33" i="12"/>
  <c r="BB32" i="12" s="1"/>
  <c r="BB31" i="12" s="1"/>
  <c r="BE100" i="12"/>
  <c r="BI95" i="12" s="1"/>
  <c r="BE32" i="12"/>
  <c r="BJ88" i="12"/>
  <c r="BI101" i="12"/>
  <c r="BI102" i="12"/>
  <c r="BA119" i="12"/>
  <c r="BA118" i="12"/>
  <c r="BA117" i="12"/>
  <c r="BA116" i="12"/>
  <c r="BA115" i="12"/>
  <c r="BA114" i="12"/>
  <c r="BA113" i="12"/>
  <c r="BA112" i="12"/>
  <c r="BJ108" i="12"/>
  <c r="BI91" i="12"/>
  <c r="BI89" i="12"/>
  <c r="BI88" i="12"/>
  <c r="BA57" i="12"/>
  <c r="BA54" i="12"/>
  <c r="BB46" i="12"/>
  <c r="BA49" i="12"/>
  <c r="BA48" i="12"/>
  <c r="BF46" i="12"/>
  <c r="BD46" i="12"/>
  <c r="BC46" i="12"/>
  <c r="BA45" i="12"/>
  <c r="BF43" i="12"/>
  <c r="BE43" i="12"/>
  <c r="BD43" i="12"/>
  <c r="BC43" i="12"/>
  <c r="BB43" i="12"/>
  <c r="BA43" i="12"/>
  <c r="BA42" i="12"/>
  <c r="BA36" i="12"/>
  <c r="BF32" i="12"/>
  <c r="BF31" i="12" s="1"/>
  <c r="BD32" i="12"/>
  <c r="BD31" i="12" s="1"/>
  <c r="BC32" i="12"/>
  <c r="BA28" i="12"/>
  <c r="BE25" i="12"/>
  <c r="BA25" i="12" s="1"/>
  <c r="BC20" i="12"/>
  <c r="BA19" i="12"/>
  <c r="BA18" i="12"/>
  <c r="BA10" i="12"/>
  <c r="BF9" i="12"/>
  <c r="BD9" i="12"/>
  <c r="BE58" i="12" l="1"/>
  <c r="BK93" i="12"/>
  <c r="D19" i="5" s="1"/>
  <c r="BI92" i="12"/>
  <c r="BK92" i="12" s="1"/>
  <c r="D18" i="5" s="1"/>
  <c r="BJ96" i="12"/>
  <c r="BE46" i="12"/>
  <c r="BA33" i="12"/>
  <c r="BA32" i="12" s="1"/>
  <c r="BE31" i="12"/>
  <c r="BJ101" i="12"/>
  <c r="BA39" i="12"/>
  <c r="BI90" i="12"/>
  <c r="BK89" i="12"/>
  <c r="D15" i="5" s="1"/>
  <c r="BB58" i="12"/>
  <c r="BB30" i="12" s="1"/>
  <c r="BC31" i="12"/>
  <c r="BC30" i="12" s="1"/>
  <c r="BA50" i="12"/>
  <c r="BA46" i="12" s="1"/>
  <c r="BK94" i="12"/>
  <c r="D20" i="5" s="1"/>
  <c r="BK95" i="12"/>
  <c r="D21" i="5" s="1"/>
  <c r="BD30" i="12"/>
  <c r="BD122" i="12" s="1"/>
  <c r="BF30" i="12"/>
  <c r="BF122" i="12" s="1"/>
  <c r="BK91" i="12"/>
  <c r="D17" i="5" s="1"/>
  <c r="BA12" i="12"/>
  <c r="BA20" i="12"/>
  <c r="BC9" i="12"/>
  <c r="BK88" i="12"/>
  <c r="D14" i="5" s="1"/>
  <c r="BI100" i="12"/>
  <c r="BI103" i="12" s="1"/>
  <c r="BB9" i="12"/>
  <c r="BA9" i="12" l="1"/>
  <c r="BI96" i="12"/>
  <c r="BI97" i="12" s="1"/>
  <c r="BL100" i="12"/>
  <c r="BE30" i="12"/>
  <c r="BE122" i="12" s="1"/>
  <c r="BK90" i="12"/>
  <c r="BL102" i="12"/>
  <c r="BK102" i="12"/>
  <c r="BK101" i="12"/>
  <c r="BL101" i="12"/>
  <c r="BJ103" i="12"/>
  <c r="BJ97" i="12"/>
  <c r="BA31" i="12"/>
  <c r="BC122" i="12"/>
  <c r="BB122" i="12"/>
  <c r="BA58" i="12"/>
  <c r="I21" i="5"/>
  <c r="I18" i="5"/>
  <c r="I16" i="5"/>
  <c r="H17" i="5"/>
  <c r="H16" i="5"/>
  <c r="E12" i="5"/>
  <c r="H12" i="5" s="1"/>
  <c r="I20" i="5"/>
  <c r="I19" i="5"/>
  <c r="I17" i="5"/>
  <c r="I15" i="5"/>
  <c r="I14" i="5"/>
  <c r="H21" i="5"/>
  <c r="H20" i="5"/>
  <c r="H19" i="5"/>
  <c r="H18" i="5"/>
  <c r="H15" i="5"/>
  <c r="BK96" i="12" l="1"/>
  <c r="BK97" i="12" s="1"/>
  <c r="D16" i="5"/>
  <c r="D12" i="5" s="1"/>
  <c r="D24" i="5" s="1"/>
  <c r="BA30" i="12"/>
  <c r="BA122" i="12" s="1"/>
  <c r="BK103" i="12"/>
  <c r="BI104" i="12"/>
  <c r="BK104" i="12" s="1"/>
  <c r="BL103" i="12"/>
  <c r="H14" i="5"/>
  <c r="F12" i="5"/>
  <c r="BG7" i="12" l="1"/>
  <c r="G19" i="5"/>
  <c r="G17" i="5"/>
  <c r="G15" i="5"/>
  <c r="G14" i="5" l="1"/>
  <c r="G18" i="5"/>
  <c r="G21" i="5"/>
  <c r="G20" i="5"/>
  <c r="G16" i="5" l="1"/>
  <c r="G12" i="5" s="1"/>
  <c r="I12" i="5"/>
  <c r="C14" i="4"/>
  <c r="C13" i="4" s="1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<sst xmlns="http://schemas.openxmlformats.org/spreadsheetml/2006/main" count="787" uniqueCount="252">
  <si>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</si>
  <si>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</si>
  <si>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</si>
  <si>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</si>
  <si>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</si>
  <si>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</si>
  <si>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</si>
  <si>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</si>
  <si>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</si>
  <si>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</si>
  <si>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</si>
  <si>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</si>
  <si>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</si>
  <si>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</si>
  <si>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</si>
  <si>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</si>
  <si>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</si>
  <si>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</si>
  <si>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</si>
  <si>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</si>
  <si>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</si>
  <si>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</si>
  <si>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</si>
  <si>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</si>
  <si>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</si>
  <si>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</si>
  <si>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</si>
  <si>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</si>
  <si>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</si>
  <si>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</si>
  <si>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</si>
  <si>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</si>
  <si>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</si>
  <si>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</si>
  <si>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</si>
  <si>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</si>
  <si>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</si>
  <si>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</si>
  <si>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</si>
  <si>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</si>
  <si>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</si>
  <si>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</si>
  <si>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</si>
  <si>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</si>
  <si>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</si>
  <si>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</si>
  <si>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</si>
  <si>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</si>
  <si>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</si>
  <si>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</si>
  <si>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</si>
  <si>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</si>
  <si>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</si>
  <si>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</si>
  <si>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</si>
  <si>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</si>
  <si>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</si>
  <si>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</si>
  <si>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</si>
  <si>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</si>
  <si>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</si>
  <si>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</si>
  <si>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</si>
  <si>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</si>
  <si>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</si>
  <si>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</si>
  <si>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</si>
  <si>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</si>
  <si>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</si>
  <si>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</si>
  <si>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</si>
  <si>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</si>
  <si>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</si>
  <si>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</si>
  <si>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</si>
  <si>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</si>
  <si>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</si>
  <si>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</si>
  <si>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</si>
  <si>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</si>
  <si>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</si>
  <si>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</si>
  <si>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</si>
  <si>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</si>
  <si>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</si>
  <si>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</si>
  <si>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</si>
  <si>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</si>
  <si>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</si>
  <si>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</si>
  <si>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</si>
  <si>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</si>
  <si>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</si>
  <si>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</si>
  <si>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</si>
  <si>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</si>
  <si>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</si>
  <si>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</si>
  <si>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</si>
  <si>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</si>
  <si>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</si>
  <si>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</si>
  <si>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</si>
  <si>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</si>
  <si>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</si>
  <si>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</si>
  <si>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</si>
  <si>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</si>
  <si>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</si>
  <si>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</si>
  <si>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</si>
  <si>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</si>
  <si>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</si>
  <si>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</si>
  <si>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</si>
  <si>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</si>
  <si>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</si>
  <si>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</si>
  <si>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</si>
  <si>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</si>
  <si>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</si>
  <si>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</si>
  <si>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</si>
  <si>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</si>
  <si>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</si>
  <si>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</si>
  <si>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</si>
  <si>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</si>
  <si>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</si>
  <si>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</si>
  <si>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</si>
  <si>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</si>
  <si>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</si>
  <si>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</si>
  <si>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</si>
  <si>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</si>
  <si>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</si>
  <si>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</si>
  <si>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</si>
  <si>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</si>
  <si>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</si>
  <si>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</si>
  <si>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</si>
  <si>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</si>
  <si>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</si>
  <si>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</si>
  <si>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</si>
  <si>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</si>
  <si>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</si>
  <si>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</si>
  <si>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</si>
  <si>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</si>
  <si>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</si>
  <si>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</si>
  <si>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</si>
  <si>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</si>
  <si>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</si>
  <si>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</si>
  <si>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</si>
  <si>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</si>
  <si>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2006</t>
  </si>
  <si>
    <t>косгу 212 пособия мамам, возм.медосмотра, ком.расходы тренера</t>
  </si>
  <si>
    <t>косгу 213 налоги с ЗП</t>
  </si>
  <si>
    <t>косгу 211  зп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</si>
  <si>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</si>
  <si>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</si>
  <si>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</si>
  <si>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</si>
  <si>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</si>
  <si>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</si>
  <si>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</si>
  <si>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</si>
  <si>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</si>
  <si>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</si>
  <si>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</si>
  <si>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</si>
  <si>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</si>
  <si>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</si>
  <si>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</si>
  <si>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</si>
  <si>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</si>
  <si>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</si>
  <si>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от дтп</t>
  </si>
  <si>
    <t>косгу</t>
  </si>
  <si>
    <t>внебюджет</t>
  </si>
  <si>
    <t>4+5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</si>
  <si>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</si>
  <si>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</si>
  <si>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t>экология</t>
  </si>
  <si>
    <t>"_____" ________________ 20___ г.</t>
  </si>
  <si>
    <t>к2001, госпошлины</t>
  </si>
  <si>
    <t>мз+дотация</t>
  </si>
  <si>
    <t>к4199</t>
  </si>
  <si>
    <t>5109</t>
  </si>
  <si>
    <t>оф.соревнования</t>
  </si>
  <si>
    <t>оф.сор</t>
  </si>
  <si>
    <t>сч205</t>
  </si>
  <si>
    <t>сч206</t>
  </si>
  <si>
    <t>сч302,303,208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</si>
  <si>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</si>
  <si>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</si>
  <si>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</si>
  <si>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к.4000</t>
  </si>
  <si>
    <t>транспортный налог к.4000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</si>
  <si>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</si>
  <si>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</si>
  <si>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</si>
  <si>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</si>
  <si>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</si>
  <si>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</si>
  <si>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код субсидии 2006, 2009, 2010, 2026</t>
  </si>
  <si>
    <t>План финансово-хозяйственной деятельности на 2018 год 
и плановый период 2019-2020 г.г</t>
  </si>
  <si>
    <t>на 01.01.2018г.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</si>
  <si>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2018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</si>
  <si>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</si>
  <si>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на   ____.______.2018г.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</si>
  <si>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</si>
  <si>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</si>
  <si>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</si>
  <si>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 _____.____.2018 г.</t>
  </si>
  <si>
    <t>ОСТАТКИ НА 01.01.18</t>
  </si>
  <si>
    <t>косгу 211</t>
  </si>
  <si>
    <t>косгу 213</t>
  </si>
  <si>
    <t>косгу 212</t>
  </si>
  <si>
    <t>косгу 212 мед.осмотр к2001</t>
  </si>
  <si>
    <t>пож.риски</t>
  </si>
  <si>
    <t>МЗ  (ост-ки на 01.01.)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</si>
  <si>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</si>
  <si>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Руководитель управления физической культуры и спорта администрации городского округа Тольятти</t>
  </si>
  <si>
    <t>А.Е. Герунов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</si>
  <si>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3 538 833,45руб.
в том числе:
- балансовая стоимость особо ценного движимого имущества: 3 082 614,47руб.
</t>
  </si>
  <si>
    <t>косгу 296 по внебюджету- учащиеся выездные меропр.</t>
  </si>
  <si>
    <t>косгу 291 - налог на имущество</t>
  </si>
  <si>
    <t>косгу 291 - транспортный налог, госпошлины, экология (нужно на 853)</t>
  </si>
  <si>
    <r>
      <t xml:space="preserve">косгу 291 (5000,0р) </t>
    </r>
    <r>
      <rPr>
        <u/>
        <sz val="10"/>
        <rFont val="Arial"/>
        <family val="2"/>
        <charset val="204"/>
      </rPr>
      <t>по требованию</t>
    </r>
    <r>
      <rPr>
        <sz val="10"/>
        <rFont val="Arial"/>
        <family val="2"/>
        <charset val="204"/>
      </rPr>
      <t xml:space="preserve"> - % тэку, самараэнерго ИФО 2001
косгу 293 (5973,25р) пени по досуд.претензии кап.ремонт ИФО 2001</t>
    </r>
  </si>
  <si>
    <t>121</t>
  </si>
  <si>
    <t>131</t>
  </si>
  <si>
    <t>143</t>
  </si>
  <si>
    <t>183</t>
  </si>
  <si>
    <t>189</t>
  </si>
  <si>
    <t>доходы по условным арендным платежам</t>
  </si>
  <si>
    <t>МЗ 4000, 4291, код субсидии 2001</t>
  </si>
  <si>
    <t>135</t>
  </si>
  <si>
    <t>косгу 212, ком.расх.тренера, к2032</t>
  </si>
  <si>
    <t>5101</t>
  </si>
  <si>
    <t>5128</t>
  </si>
  <si>
    <t>исп.листы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</si>
  <si>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</si>
  <si>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без Кт</t>
  </si>
  <si>
    <t>МЗ + иные</t>
  </si>
  <si>
    <t>Заместитель директора по спортивной работе
МБУДО СДЮСШОР № 4 "Шахматы"</t>
  </si>
  <si>
    <t>Л.А. 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</si>
</sst>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 applyAlignment="1">
      <alignment horizontal="right"/>
    </xf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0" fontId="4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6" fillId="2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Border="1" applyAlignment="1" applyProtection="1">
      <alignment horizontal="center" vertical="center"/>
    </xf>
    <xf numFmtId="164" fontId="26" fillId="4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Fill="1" applyBorder="1" applyAlignment="1" applyProtection="1">
      <alignment horizontal="center" vertical="center"/>
    </xf>
    <xf numFmtId="164" fontId="26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textRotation="90"/>
    </xf>
    <xf numFmtId="0" fontId="21" fillId="5" borderId="13" xfId="0" applyFont="1" applyFill="1" applyBorder="1" applyAlignment="1">
      <alignment horizontal="center" textRotation="90"/>
    </xf>
    <xf numFmtId="0" fontId="21" fillId="5" borderId="14" xfId="0" applyFont="1" applyFill="1" applyBorder="1" applyAlignment="1">
      <alignment horizontal="center" textRotation="90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3" fillId="4" borderId="3" xfId="0" applyFont="1" applyFill="1" applyBorder="1" applyAlignment="1" applyProtection="1">
      <alignment horizontal="lef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3" fillId="4" borderId="5" xfId="0" applyFont="1" applyFill="1" applyBorder="1" applyAlignment="1" applyProtection="1">
      <alignment horizontal="left" vertical="top" wrapText="1"/>
    </xf>
    <xf numFmtId="0" fontId="28" fillId="0" borderId="3" xfId="0" applyFont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right" wrapText="1"/>
    </xf>
    <xf numFmtId="0" fontId="28" fillId="0" borderId="5" xfId="0" applyFont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2"/>
  <sheetViews>
    <sheetView view="pageBreakPreview" topLeftCell="A7" zoomScale="87" zoomScaleNormal="100" zoomScaleSheetLayoutView="87" workbookViewId="0">
      <selection activeCell="DZ16" sqref="DZ16"/>
    </sheetView>
  </sheetViews>
  <sheetFormatPr defaultRowHeight="12.75" x14ac:dyDescent="0.2"/>
  <cols>
    <col min="1" max="1" width="0.85546875" style="31" customWidth="1"/>
    <col min="2" max="40" width="1.140625" style="31" customWidth="1"/>
    <col min="41" max="114" width="0.85546875" style="31" customWidth="1"/>
    <col min="115" max="115" width="1.5703125" style="31" customWidth="1"/>
    <col min="116" max="116" width="1.7109375" style="31" customWidth="1"/>
    <col min="117" max="127" width="0.85546875" style="31" customWidth="1"/>
    <col min="128" max="128" width="0.42578125" style="31" customWidth="1"/>
    <col min="129" max="129" width="0.85546875" style="31" hidden="1" customWidth="1"/>
    <col min="130" max="130" width="74.140625" style="31" customWidth="1"/>
    <col min="131" max="165" width="0.85546875" style="31" customWidth="1"/>
    <col min="166" max="256" width="9.140625" style="31"/>
    <col min="257" max="257" width="0.85546875" style="31" customWidth="1"/>
    <col min="258" max="296" width="1.140625" style="31" customWidth="1"/>
    <col min="297" max="421" width="0.85546875" style="31" customWidth="1"/>
    <col min="422" max="512" width="9.140625" style="31"/>
    <col min="513" max="513" width="0.85546875" style="31" customWidth="1"/>
    <col min="514" max="552" width="1.140625" style="31" customWidth="1"/>
    <col min="553" max="677" width="0.85546875" style="31" customWidth="1"/>
    <col min="678" max="768" width="9.140625" style="31"/>
    <col min="769" max="769" width="0.85546875" style="31" customWidth="1"/>
    <col min="770" max="808" width="1.140625" style="31" customWidth="1"/>
    <col min="809" max="933" width="0.85546875" style="31" customWidth="1"/>
    <col min="934" max="1024" width="9.140625" style="31"/>
    <col min="1025" max="1025" width="0.85546875" style="31" customWidth="1"/>
    <col min="1026" max="1064" width="1.140625" style="31" customWidth="1"/>
    <col min="1065" max="1189" width="0.85546875" style="31" customWidth="1"/>
    <col min="1190" max="1280" width="9.140625" style="31"/>
    <col min="1281" max="1281" width="0.85546875" style="31" customWidth="1"/>
    <col min="1282" max="1320" width="1.140625" style="31" customWidth="1"/>
    <col min="1321" max="1445" width="0.85546875" style="31" customWidth="1"/>
    <col min="1446" max="1536" width="9.140625" style="31"/>
    <col min="1537" max="1537" width="0.85546875" style="31" customWidth="1"/>
    <col min="1538" max="1576" width="1.140625" style="31" customWidth="1"/>
    <col min="1577" max="1701" width="0.85546875" style="31" customWidth="1"/>
    <col min="1702" max="1792" width="9.140625" style="31"/>
    <col min="1793" max="1793" width="0.85546875" style="31" customWidth="1"/>
    <col min="1794" max="1832" width="1.140625" style="31" customWidth="1"/>
    <col min="1833" max="1957" width="0.85546875" style="31" customWidth="1"/>
    <col min="1958" max="2048" width="9.140625" style="31"/>
    <col min="2049" max="2049" width="0.85546875" style="31" customWidth="1"/>
    <col min="2050" max="2088" width="1.140625" style="31" customWidth="1"/>
    <col min="2089" max="2213" width="0.85546875" style="31" customWidth="1"/>
    <col min="2214" max="2304" width="9.140625" style="31"/>
    <col min="2305" max="2305" width="0.85546875" style="31" customWidth="1"/>
    <col min="2306" max="2344" width="1.140625" style="31" customWidth="1"/>
    <col min="2345" max="2469" width="0.85546875" style="31" customWidth="1"/>
    <col min="2470" max="2560" width="9.140625" style="31"/>
    <col min="2561" max="2561" width="0.85546875" style="31" customWidth="1"/>
    <col min="2562" max="2600" width="1.140625" style="31" customWidth="1"/>
    <col min="2601" max="2725" width="0.85546875" style="31" customWidth="1"/>
    <col min="2726" max="2816" width="9.140625" style="31"/>
    <col min="2817" max="2817" width="0.85546875" style="31" customWidth="1"/>
    <col min="2818" max="2856" width="1.140625" style="31" customWidth="1"/>
    <col min="2857" max="2981" width="0.85546875" style="31" customWidth="1"/>
    <col min="2982" max="3072" width="9.140625" style="31"/>
    <col min="3073" max="3073" width="0.85546875" style="31" customWidth="1"/>
    <col min="3074" max="3112" width="1.140625" style="31" customWidth="1"/>
    <col min="3113" max="3237" width="0.85546875" style="31" customWidth="1"/>
    <col min="3238" max="3328" width="9.140625" style="31"/>
    <col min="3329" max="3329" width="0.85546875" style="31" customWidth="1"/>
    <col min="3330" max="3368" width="1.140625" style="31" customWidth="1"/>
    <col min="3369" max="3493" width="0.85546875" style="31" customWidth="1"/>
    <col min="3494" max="3584" width="9.140625" style="31"/>
    <col min="3585" max="3585" width="0.85546875" style="31" customWidth="1"/>
    <col min="3586" max="3624" width="1.140625" style="31" customWidth="1"/>
    <col min="3625" max="3749" width="0.85546875" style="31" customWidth="1"/>
    <col min="3750" max="3840" width="9.140625" style="31"/>
    <col min="3841" max="3841" width="0.85546875" style="31" customWidth="1"/>
    <col min="3842" max="3880" width="1.140625" style="31" customWidth="1"/>
    <col min="3881" max="4005" width="0.85546875" style="31" customWidth="1"/>
    <col min="4006" max="4096" width="9.140625" style="31"/>
    <col min="4097" max="4097" width="0.85546875" style="31" customWidth="1"/>
    <col min="4098" max="4136" width="1.140625" style="31" customWidth="1"/>
    <col min="4137" max="4261" width="0.85546875" style="31" customWidth="1"/>
    <col min="4262" max="4352" width="9.140625" style="31"/>
    <col min="4353" max="4353" width="0.85546875" style="31" customWidth="1"/>
    <col min="4354" max="4392" width="1.140625" style="31" customWidth="1"/>
    <col min="4393" max="4517" width="0.85546875" style="31" customWidth="1"/>
    <col min="4518" max="4608" width="9.140625" style="31"/>
    <col min="4609" max="4609" width="0.85546875" style="31" customWidth="1"/>
    <col min="4610" max="4648" width="1.140625" style="31" customWidth="1"/>
    <col min="4649" max="4773" width="0.85546875" style="31" customWidth="1"/>
    <col min="4774" max="4864" width="9.140625" style="31"/>
    <col min="4865" max="4865" width="0.85546875" style="31" customWidth="1"/>
    <col min="4866" max="4904" width="1.140625" style="31" customWidth="1"/>
    <col min="4905" max="5029" width="0.85546875" style="31" customWidth="1"/>
    <col min="5030" max="5120" width="9.140625" style="31"/>
    <col min="5121" max="5121" width="0.85546875" style="31" customWidth="1"/>
    <col min="5122" max="5160" width="1.140625" style="31" customWidth="1"/>
    <col min="5161" max="5285" width="0.85546875" style="31" customWidth="1"/>
    <col min="5286" max="5376" width="9.140625" style="31"/>
    <col min="5377" max="5377" width="0.85546875" style="31" customWidth="1"/>
    <col min="5378" max="5416" width="1.140625" style="31" customWidth="1"/>
    <col min="5417" max="5541" width="0.85546875" style="31" customWidth="1"/>
    <col min="5542" max="5632" width="9.140625" style="31"/>
    <col min="5633" max="5633" width="0.85546875" style="31" customWidth="1"/>
    <col min="5634" max="5672" width="1.140625" style="31" customWidth="1"/>
    <col min="5673" max="5797" width="0.85546875" style="31" customWidth="1"/>
    <col min="5798" max="5888" width="9.140625" style="31"/>
    <col min="5889" max="5889" width="0.85546875" style="31" customWidth="1"/>
    <col min="5890" max="5928" width="1.140625" style="31" customWidth="1"/>
    <col min="5929" max="6053" width="0.85546875" style="31" customWidth="1"/>
    <col min="6054" max="6144" width="9.140625" style="31"/>
    <col min="6145" max="6145" width="0.85546875" style="31" customWidth="1"/>
    <col min="6146" max="6184" width="1.140625" style="31" customWidth="1"/>
    <col min="6185" max="6309" width="0.85546875" style="31" customWidth="1"/>
    <col min="6310" max="6400" width="9.140625" style="31"/>
    <col min="6401" max="6401" width="0.85546875" style="31" customWidth="1"/>
    <col min="6402" max="6440" width="1.140625" style="31" customWidth="1"/>
    <col min="6441" max="6565" width="0.85546875" style="31" customWidth="1"/>
    <col min="6566" max="6656" width="9.140625" style="31"/>
    <col min="6657" max="6657" width="0.85546875" style="31" customWidth="1"/>
    <col min="6658" max="6696" width="1.140625" style="31" customWidth="1"/>
    <col min="6697" max="6821" width="0.85546875" style="31" customWidth="1"/>
    <col min="6822" max="6912" width="9.140625" style="31"/>
    <col min="6913" max="6913" width="0.85546875" style="31" customWidth="1"/>
    <col min="6914" max="6952" width="1.140625" style="31" customWidth="1"/>
    <col min="6953" max="7077" width="0.85546875" style="31" customWidth="1"/>
    <col min="7078" max="7168" width="9.140625" style="31"/>
    <col min="7169" max="7169" width="0.85546875" style="31" customWidth="1"/>
    <col min="7170" max="7208" width="1.140625" style="31" customWidth="1"/>
    <col min="7209" max="7333" width="0.85546875" style="31" customWidth="1"/>
    <col min="7334" max="7424" width="9.140625" style="31"/>
    <col min="7425" max="7425" width="0.85546875" style="31" customWidth="1"/>
    <col min="7426" max="7464" width="1.140625" style="31" customWidth="1"/>
    <col min="7465" max="7589" width="0.85546875" style="31" customWidth="1"/>
    <col min="7590" max="7680" width="9.140625" style="31"/>
    <col min="7681" max="7681" width="0.85546875" style="31" customWidth="1"/>
    <col min="7682" max="7720" width="1.140625" style="31" customWidth="1"/>
    <col min="7721" max="7845" width="0.85546875" style="31" customWidth="1"/>
    <col min="7846" max="7936" width="9.140625" style="31"/>
    <col min="7937" max="7937" width="0.85546875" style="31" customWidth="1"/>
    <col min="7938" max="7976" width="1.140625" style="31" customWidth="1"/>
    <col min="7977" max="8101" width="0.85546875" style="31" customWidth="1"/>
    <col min="8102" max="8192" width="9.140625" style="31"/>
    <col min="8193" max="8193" width="0.85546875" style="31" customWidth="1"/>
    <col min="8194" max="8232" width="1.140625" style="31" customWidth="1"/>
    <col min="8233" max="8357" width="0.85546875" style="31" customWidth="1"/>
    <col min="8358" max="8448" width="9.140625" style="31"/>
    <col min="8449" max="8449" width="0.85546875" style="31" customWidth="1"/>
    <col min="8450" max="8488" width="1.140625" style="31" customWidth="1"/>
    <col min="8489" max="8613" width="0.85546875" style="31" customWidth="1"/>
    <col min="8614" max="8704" width="9.140625" style="31"/>
    <col min="8705" max="8705" width="0.85546875" style="31" customWidth="1"/>
    <col min="8706" max="8744" width="1.140625" style="31" customWidth="1"/>
    <col min="8745" max="8869" width="0.85546875" style="31" customWidth="1"/>
    <col min="8870" max="8960" width="9.140625" style="31"/>
    <col min="8961" max="8961" width="0.85546875" style="31" customWidth="1"/>
    <col min="8962" max="9000" width="1.140625" style="31" customWidth="1"/>
    <col min="9001" max="9125" width="0.85546875" style="31" customWidth="1"/>
    <col min="9126" max="9216" width="9.140625" style="31"/>
    <col min="9217" max="9217" width="0.85546875" style="31" customWidth="1"/>
    <col min="9218" max="9256" width="1.140625" style="31" customWidth="1"/>
    <col min="9257" max="9381" width="0.85546875" style="31" customWidth="1"/>
    <col min="9382" max="9472" width="9.140625" style="31"/>
    <col min="9473" max="9473" width="0.85546875" style="31" customWidth="1"/>
    <col min="9474" max="9512" width="1.140625" style="31" customWidth="1"/>
    <col min="9513" max="9637" width="0.85546875" style="31" customWidth="1"/>
    <col min="9638" max="9728" width="9.140625" style="31"/>
    <col min="9729" max="9729" width="0.85546875" style="31" customWidth="1"/>
    <col min="9730" max="9768" width="1.140625" style="31" customWidth="1"/>
    <col min="9769" max="9893" width="0.85546875" style="31" customWidth="1"/>
    <col min="9894" max="9984" width="9.140625" style="31"/>
    <col min="9985" max="9985" width="0.85546875" style="31" customWidth="1"/>
    <col min="9986" max="10024" width="1.140625" style="31" customWidth="1"/>
    <col min="10025" max="10149" width="0.85546875" style="31" customWidth="1"/>
    <col min="10150" max="10240" width="9.140625" style="31"/>
    <col min="10241" max="10241" width="0.85546875" style="31" customWidth="1"/>
    <col min="10242" max="10280" width="1.140625" style="31" customWidth="1"/>
    <col min="10281" max="10405" width="0.85546875" style="31" customWidth="1"/>
    <col min="10406" max="10496" width="9.140625" style="31"/>
    <col min="10497" max="10497" width="0.85546875" style="31" customWidth="1"/>
    <col min="10498" max="10536" width="1.140625" style="31" customWidth="1"/>
    <col min="10537" max="10661" width="0.85546875" style="31" customWidth="1"/>
    <col min="10662" max="10752" width="9.140625" style="31"/>
    <col min="10753" max="10753" width="0.85546875" style="31" customWidth="1"/>
    <col min="10754" max="10792" width="1.140625" style="31" customWidth="1"/>
    <col min="10793" max="10917" width="0.85546875" style="31" customWidth="1"/>
    <col min="10918" max="11008" width="9.140625" style="31"/>
    <col min="11009" max="11009" width="0.85546875" style="31" customWidth="1"/>
    <col min="11010" max="11048" width="1.140625" style="31" customWidth="1"/>
    <col min="11049" max="11173" width="0.85546875" style="31" customWidth="1"/>
    <col min="11174" max="11264" width="9.140625" style="31"/>
    <col min="11265" max="11265" width="0.85546875" style="31" customWidth="1"/>
    <col min="11266" max="11304" width="1.140625" style="31" customWidth="1"/>
    <col min="11305" max="11429" width="0.85546875" style="31" customWidth="1"/>
    <col min="11430" max="11520" width="9.140625" style="31"/>
    <col min="11521" max="11521" width="0.85546875" style="31" customWidth="1"/>
    <col min="11522" max="11560" width="1.140625" style="31" customWidth="1"/>
    <col min="11561" max="11685" width="0.85546875" style="31" customWidth="1"/>
    <col min="11686" max="11776" width="9.140625" style="31"/>
    <col min="11777" max="11777" width="0.85546875" style="31" customWidth="1"/>
    <col min="11778" max="11816" width="1.140625" style="31" customWidth="1"/>
    <col min="11817" max="11941" width="0.85546875" style="31" customWidth="1"/>
    <col min="11942" max="12032" width="9.140625" style="31"/>
    <col min="12033" max="12033" width="0.85546875" style="31" customWidth="1"/>
    <col min="12034" max="12072" width="1.140625" style="31" customWidth="1"/>
    <col min="12073" max="12197" width="0.85546875" style="31" customWidth="1"/>
    <col min="12198" max="12288" width="9.140625" style="31"/>
    <col min="12289" max="12289" width="0.85546875" style="31" customWidth="1"/>
    <col min="12290" max="12328" width="1.140625" style="31" customWidth="1"/>
    <col min="12329" max="12453" width="0.85546875" style="31" customWidth="1"/>
    <col min="12454" max="12544" width="9.140625" style="31"/>
    <col min="12545" max="12545" width="0.85546875" style="31" customWidth="1"/>
    <col min="12546" max="12584" width="1.140625" style="31" customWidth="1"/>
    <col min="12585" max="12709" width="0.85546875" style="31" customWidth="1"/>
    <col min="12710" max="12800" width="9.140625" style="31"/>
    <col min="12801" max="12801" width="0.85546875" style="31" customWidth="1"/>
    <col min="12802" max="12840" width="1.140625" style="31" customWidth="1"/>
    <col min="12841" max="12965" width="0.85546875" style="31" customWidth="1"/>
    <col min="12966" max="13056" width="9.140625" style="31"/>
    <col min="13057" max="13057" width="0.85546875" style="31" customWidth="1"/>
    <col min="13058" max="13096" width="1.140625" style="31" customWidth="1"/>
    <col min="13097" max="13221" width="0.85546875" style="31" customWidth="1"/>
    <col min="13222" max="13312" width="9.140625" style="31"/>
    <col min="13313" max="13313" width="0.85546875" style="31" customWidth="1"/>
    <col min="13314" max="13352" width="1.140625" style="31" customWidth="1"/>
    <col min="13353" max="13477" width="0.85546875" style="31" customWidth="1"/>
    <col min="13478" max="13568" width="9.140625" style="31"/>
    <col min="13569" max="13569" width="0.85546875" style="31" customWidth="1"/>
    <col min="13570" max="13608" width="1.140625" style="31" customWidth="1"/>
    <col min="13609" max="13733" width="0.85546875" style="31" customWidth="1"/>
    <col min="13734" max="13824" width="9.140625" style="31"/>
    <col min="13825" max="13825" width="0.85546875" style="31" customWidth="1"/>
    <col min="13826" max="13864" width="1.140625" style="31" customWidth="1"/>
    <col min="13865" max="13989" width="0.85546875" style="31" customWidth="1"/>
    <col min="13990" max="14080" width="9.140625" style="31"/>
    <col min="14081" max="14081" width="0.85546875" style="31" customWidth="1"/>
    <col min="14082" max="14120" width="1.140625" style="31" customWidth="1"/>
    <col min="14121" max="14245" width="0.85546875" style="31" customWidth="1"/>
    <col min="14246" max="14336" width="9.140625" style="31"/>
    <col min="14337" max="14337" width="0.85546875" style="31" customWidth="1"/>
    <col min="14338" max="14376" width="1.140625" style="31" customWidth="1"/>
    <col min="14377" max="14501" width="0.85546875" style="31" customWidth="1"/>
    <col min="14502" max="14592" width="9.140625" style="31"/>
    <col min="14593" max="14593" width="0.85546875" style="31" customWidth="1"/>
    <col min="14594" max="14632" width="1.140625" style="31" customWidth="1"/>
    <col min="14633" max="14757" width="0.85546875" style="31" customWidth="1"/>
    <col min="14758" max="14848" width="9.140625" style="31"/>
    <col min="14849" max="14849" width="0.85546875" style="31" customWidth="1"/>
    <col min="14850" max="14888" width="1.140625" style="31" customWidth="1"/>
    <col min="14889" max="15013" width="0.85546875" style="31" customWidth="1"/>
    <col min="15014" max="15104" width="9.140625" style="31"/>
    <col min="15105" max="15105" width="0.85546875" style="31" customWidth="1"/>
    <col min="15106" max="15144" width="1.140625" style="31" customWidth="1"/>
    <col min="15145" max="15269" width="0.85546875" style="31" customWidth="1"/>
    <col min="15270" max="15360" width="9.140625" style="31"/>
    <col min="15361" max="15361" width="0.85546875" style="31" customWidth="1"/>
    <col min="15362" max="15400" width="1.140625" style="31" customWidth="1"/>
    <col min="15401" max="15525" width="0.85546875" style="31" customWidth="1"/>
    <col min="15526" max="15616" width="9.140625" style="31"/>
    <col min="15617" max="15617" width="0.85546875" style="31" customWidth="1"/>
    <col min="15618" max="15656" width="1.140625" style="31" customWidth="1"/>
    <col min="15657" max="15781" width="0.85546875" style="31" customWidth="1"/>
    <col min="15782" max="15872" width="9.140625" style="31"/>
    <col min="15873" max="15873" width="0.85546875" style="31" customWidth="1"/>
    <col min="15874" max="15912" width="1.140625" style="31" customWidth="1"/>
    <col min="15913" max="16037" width="0.85546875" style="31" customWidth="1"/>
    <col min="16038" max="16128" width="9.140625" style="31"/>
    <col min="16129" max="16129" width="0.85546875" style="31" customWidth="1"/>
    <col min="16130" max="16168" width="1.140625" style="31" customWidth="1"/>
    <col min="16169" max="16293" width="0.85546875" style="31" customWidth="1"/>
    <col min="16294" max="16384" width="9.140625" style="31"/>
  </cols>
  <sheetData>
    <row r="1" spans="1:155" x14ac:dyDescent="0.2">
      <c r="N1" s="15"/>
    </row>
    <row r="2" spans="1:155" ht="15" x14ac:dyDescent="0.25">
      <c r="A2" s="30"/>
      <c r="B2" s="30"/>
      <c r="C2" s="30"/>
      <c r="D2" s="30"/>
      <c r="E2" s="30"/>
      <c r="F2" s="30"/>
      <c r="G2" s="196" t="s">
        <v>73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CD2" s="196" t="s">
        <v>58</v>
      </c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22"/>
      <c r="DU2" s="122"/>
      <c r="DV2" s="122"/>
    </row>
    <row r="3" spans="1:155" ht="63.75" customHeight="1" x14ac:dyDescent="0.25">
      <c r="A3" s="30"/>
      <c r="B3" s="30"/>
      <c r="C3" s="30"/>
      <c r="D3" s="30"/>
      <c r="E3" s="30"/>
      <c r="F3" s="30"/>
      <c r="G3" s="201" t="s">
        <v>228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D3" s="201" t="s">
        <v>250</v>
      </c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122"/>
      <c r="DU3" s="122"/>
      <c r="DV3" s="122"/>
      <c r="DW3" s="35"/>
    </row>
    <row r="4" spans="1:155" ht="24.75" customHeight="1" x14ac:dyDescent="0.2">
      <c r="A4" s="16"/>
      <c r="B4" s="16"/>
      <c r="C4" s="16"/>
      <c r="D4" s="16"/>
      <c r="E4" s="16"/>
      <c r="F4" s="16"/>
      <c r="G4" s="202" t="s">
        <v>74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CD4" s="202" t="s">
        <v>59</v>
      </c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46"/>
      <c r="DU4" s="46"/>
      <c r="DV4" s="46"/>
      <c r="DW4" s="35"/>
    </row>
    <row r="5" spans="1:155" ht="15" x14ac:dyDescent="0.25">
      <c r="A5" s="30"/>
      <c r="B5" s="30"/>
      <c r="C5" s="30"/>
      <c r="D5" s="30"/>
      <c r="E5" s="30"/>
      <c r="F5" s="30"/>
      <c r="G5" s="191" t="s">
        <v>229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CD5" s="191" t="s">
        <v>251</v>
      </c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22"/>
      <c r="DU5" s="122"/>
      <c r="DV5" s="122"/>
      <c r="DW5" s="35"/>
    </row>
    <row r="6" spans="1:155" x14ac:dyDescent="0.2">
      <c r="A6" s="17"/>
      <c r="B6" s="17"/>
      <c r="C6" s="17"/>
      <c r="D6" s="17"/>
      <c r="E6" s="17"/>
      <c r="F6" s="17"/>
      <c r="G6" s="192" t="s">
        <v>60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7"/>
      <c r="W6" s="17"/>
      <c r="X6" s="192" t="s">
        <v>61</v>
      </c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CD6" s="192" t="s">
        <v>60</v>
      </c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7"/>
      <c r="CW6" s="17"/>
      <c r="CX6" s="17"/>
      <c r="CY6" s="17"/>
      <c r="CZ6" s="32" t="s">
        <v>61</v>
      </c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4"/>
      <c r="DU6" s="34"/>
      <c r="DV6" s="34"/>
    </row>
    <row r="7" spans="1:155" ht="15.2" customHeight="1" x14ac:dyDescent="0.25">
      <c r="A7" s="18"/>
      <c r="B7" s="18"/>
      <c r="C7" s="18"/>
      <c r="D7" s="18"/>
      <c r="E7" s="123"/>
      <c r="F7" s="19"/>
      <c r="I7" s="123" t="s">
        <v>62</v>
      </c>
      <c r="J7" s="33"/>
      <c r="K7" s="33"/>
      <c r="L7" s="30" t="s">
        <v>62</v>
      </c>
      <c r="M7" s="19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 t="s">
        <v>71</v>
      </c>
      <c r="AE7" s="194"/>
      <c r="AF7" s="194"/>
      <c r="AG7" s="195"/>
      <c r="AH7" s="195"/>
      <c r="AI7" s="195"/>
      <c r="AJ7" s="196" t="s">
        <v>72</v>
      </c>
      <c r="AK7" s="196"/>
      <c r="AL7" s="30"/>
      <c r="AM7" s="19"/>
      <c r="AN7" s="19"/>
      <c r="AO7" s="19"/>
      <c r="AP7" s="19"/>
      <c r="AQ7" s="30"/>
      <c r="CH7" s="123" t="s">
        <v>62</v>
      </c>
      <c r="CI7" s="197"/>
      <c r="CJ7" s="197"/>
      <c r="CK7" s="197"/>
      <c r="CL7" s="197"/>
      <c r="CM7" s="30" t="s">
        <v>62</v>
      </c>
      <c r="CP7" s="196" t="s">
        <v>130</v>
      </c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8">
        <v>20</v>
      </c>
      <c r="DJ7" s="198"/>
      <c r="DK7" s="198"/>
      <c r="DL7" s="197"/>
      <c r="DM7" s="197"/>
      <c r="DN7" s="197"/>
      <c r="DO7" s="197"/>
      <c r="DP7" s="30" t="s">
        <v>63</v>
      </c>
    </row>
    <row r="8" spans="1:155" ht="15" x14ac:dyDescent="0.25">
      <c r="BN8" s="30"/>
      <c r="CY8" s="20"/>
      <c r="DF8" s="30"/>
      <c r="DG8" s="30"/>
    </row>
    <row r="9" spans="1:155" ht="45.75" customHeight="1" x14ac:dyDescent="0.3">
      <c r="A9" s="199" t="s">
        <v>211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</row>
    <row r="10" spans="1:155" ht="39" customHeight="1" x14ac:dyDescent="0.25">
      <c r="DF10" s="30"/>
    </row>
    <row r="11" spans="1:155" ht="15" x14ac:dyDescent="0.2">
      <c r="DJ11" s="200" t="s">
        <v>64</v>
      </c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</row>
    <row r="12" spans="1:155" ht="15.2" customHeight="1" x14ac:dyDescent="0.25"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DH12" s="123" t="s">
        <v>65</v>
      </c>
      <c r="DJ12" s="188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90"/>
    </row>
    <row r="13" spans="1:155" ht="15.2" customHeight="1" x14ac:dyDescent="0.25">
      <c r="X13" s="35"/>
      <c r="Y13" s="35"/>
      <c r="Z13" s="35"/>
      <c r="AA13" s="35"/>
      <c r="AB13" s="35"/>
      <c r="AC13" s="21"/>
      <c r="AD13" s="185"/>
      <c r="AE13" s="185"/>
      <c r="AF13" s="185"/>
      <c r="AG13" s="185"/>
      <c r="AH13" s="22"/>
      <c r="AI13" s="22"/>
      <c r="AJ13" s="22" t="s">
        <v>62</v>
      </c>
      <c r="AK13" s="22"/>
      <c r="AL13" s="121"/>
      <c r="AM13" s="121"/>
      <c r="AN13" s="121"/>
      <c r="AO13" s="121"/>
      <c r="AP13" s="36" t="s">
        <v>62</v>
      </c>
      <c r="AQ13" s="36"/>
      <c r="AR13" s="3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36">
        <v>20</v>
      </c>
      <c r="BL13" s="187"/>
      <c r="BM13" s="187"/>
      <c r="BN13" s="187"/>
      <c r="BO13" s="187"/>
      <c r="BP13" s="187"/>
      <c r="BQ13" s="187"/>
      <c r="BR13" s="187"/>
      <c r="BS13" s="22" t="s">
        <v>63</v>
      </c>
      <c r="BT13" s="22"/>
      <c r="CT13" s="23"/>
      <c r="DH13" s="123" t="s">
        <v>66</v>
      </c>
      <c r="DJ13" s="188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90"/>
    </row>
    <row r="14" spans="1:155" ht="24" customHeight="1" x14ac:dyDescent="0.25">
      <c r="BH14" s="30"/>
      <c r="CT14" s="23"/>
      <c r="CU14" s="23"/>
      <c r="DH14" s="123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90"/>
    </row>
    <row r="15" spans="1:155" ht="15" x14ac:dyDescent="0.25">
      <c r="CT15" s="23"/>
      <c r="CU15" s="23"/>
      <c r="DH15" s="123"/>
      <c r="DJ15" s="188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90"/>
    </row>
    <row r="16" spans="1:155" ht="15.2" customHeight="1" x14ac:dyDescent="0.25">
      <c r="A16" s="173" t="s">
        <v>75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48"/>
      <c r="AM16" s="48"/>
      <c r="AN16" s="48"/>
      <c r="AO16" s="173" t="s">
        <v>132</v>
      </c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24"/>
      <c r="CT16" s="24"/>
      <c r="DH16" s="123" t="s">
        <v>67</v>
      </c>
      <c r="DJ16" s="188" t="s">
        <v>131</v>
      </c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90"/>
    </row>
    <row r="17" spans="1:164" ht="15.2" customHeight="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48"/>
      <c r="AM17" s="48"/>
      <c r="AN17" s="48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24"/>
      <c r="CT17" s="24"/>
      <c r="CU17" s="23"/>
      <c r="DH17" s="123"/>
      <c r="DJ17" s="188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90"/>
    </row>
    <row r="18" spans="1:164" ht="66" customHeight="1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48"/>
      <c r="AM18" s="48"/>
      <c r="AN18" s="48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24"/>
      <c r="CT18" s="24"/>
      <c r="CU18" s="23"/>
      <c r="DH18" s="25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4" ht="15.75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T19" s="23"/>
      <c r="CU19" s="23"/>
      <c r="DH19" s="123"/>
      <c r="DJ19" s="182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4"/>
    </row>
    <row r="20" spans="1:164" ht="15.2" customHeight="1" x14ac:dyDescent="0.2">
      <c r="A20" s="176" t="s">
        <v>68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49"/>
      <c r="AM20" s="49"/>
      <c r="AN20" s="49"/>
      <c r="AO20" s="177" t="s">
        <v>133</v>
      </c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26"/>
      <c r="CT20" s="26"/>
      <c r="DH20" s="27"/>
      <c r="DJ20" s="178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80"/>
    </row>
    <row r="21" spans="1:164" ht="19.5" customHeight="1" x14ac:dyDescent="0.2">
      <c r="A21" s="176" t="s">
        <v>78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49"/>
      <c r="AM21" s="49"/>
      <c r="AN21" s="49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DH21" s="28" t="s">
        <v>69</v>
      </c>
      <c r="DJ21" s="178" t="s">
        <v>70</v>
      </c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80"/>
    </row>
    <row r="22" spans="1:164" ht="15.2" customHeight="1" x14ac:dyDescent="0.2">
      <c r="A22" s="176" t="s">
        <v>79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49"/>
      <c r="AM22" s="49"/>
      <c r="AN22" s="49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28"/>
      <c r="DI22" s="35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</row>
    <row r="23" spans="1:164" ht="15.75" x14ac:dyDescent="0.2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S23" s="29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</row>
    <row r="24" spans="1:164" ht="21" customHeight="1" x14ac:dyDescent="0.2">
      <c r="A24" s="173" t="s">
        <v>76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48"/>
      <c r="AM24" s="48"/>
      <c r="AN24" s="48"/>
      <c r="AO24" s="173" t="s">
        <v>201</v>
      </c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24"/>
      <c r="DR24" s="24"/>
      <c r="DS24" s="24"/>
      <c r="DT24" s="24"/>
    </row>
    <row r="25" spans="1:164" ht="21" customHeight="1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48"/>
      <c r="AM25" s="48"/>
      <c r="AN25" s="48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24"/>
      <c r="DR25" s="24"/>
      <c r="DS25" s="24"/>
      <c r="DT25" s="24"/>
    </row>
    <row r="26" spans="1:164" ht="15" customHeight="1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48"/>
      <c r="AM26" s="48"/>
      <c r="AN26" s="48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24"/>
      <c r="DR26" s="24"/>
      <c r="DS26" s="24"/>
      <c r="DT26" s="24"/>
    </row>
    <row r="27" spans="1:164" ht="15.75" x14ac:dyDescent="0.25">
      <c r="A27" s="4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44"/>
      <c r="CP27" s="44"/>
      <c r="CQ27" s="44"/>
      <c r="CR27" s="44"/>
      <c r="CS27" s="44"/>
      <c r="CT27" s="44"/>
      <c r="CU27" s="44"/>
      <c r="CV27" s="44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38"/>
      <c r="DH27" s="38"/>
      <c r="DI27" s="38"/>
      <c r="DJ27" s="38"/>
      <c r="DK27" s="38"/>
      <c r="DL27" s="38"/>
      <c r="DM27" s="38"/>
      <c r="DN27" s="38"/>
      <c r="DO27" s="38"/>
      <c r="DP27" s="38"/>
    </row>
    <row r="28" spans="1:164" ht="15.2" hidden="1" customHeight="1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37"/>
      <c r="AP28" s="37"/>
      <c r="AQ28" s="37"/>
      <c r="AR28" s="37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24"/>
      <c r="DR28" s="24"/>
      <c r="DS28" s="24"/>
      <c r="DT28" s="24"/>
    </row>
    <row r="29" spans="1:164" ht="15.2" hidden="1" customHeight="1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37"/>
      <c r="AP29" s="37"/>
      <c r="AQ29" s="37"/>
      <c r="AR29" s="37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24"/>
      <c r="DR29" s="24"/>
      <c r="DS29" s="24"/>
      <c r="DT29" s="24"/>
    </row>
    <row r="30" spans="1:164" ht="15.2" hidden="1" customHeight="1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37"/>
      <c r="AP30" s="37"/>
      <c r="AQ30" s="37"/>
      <c r="AR30" s="37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24"/>
      <c r="DR30" s="24"/>
      <c r="DS30" s="24"/>
      <c r="DT30" s="24"/>
    </row>
    <row r="31" spans="1:164" ht="15" hidden="1" x14ac:dyDescent="0.25">
      <c r="DF31" s="30"/>
    </row>
    <row r="32" spans="1:164" ht="21" customHeight="1" x14ac:dyDescent="0.3">
      <c r="A32" s="175" t="s">
        <v>77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</row>
    <row r="33" spans="1:165" ht="13.9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</row>
    <row r="34" spans="1:165" ht="174.75" customHeight="1" x14ac:dyDescent="0.25">
      <c r="A34" s="173" t="s">
        <v>134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</row>
    <row r="35" spans="1:165" ht="282" customHeight="1" x14ac:dyDescent="0.25">
      <c r="A35" s="173" t="s">
        <v>137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</row>
    <row r="36" spans="1:165" ht="384" customHeight="1" x14ac:dyDescent="0.25">
      <c r="A36" s="174" t="s">
        <v>138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30"/>
      <c r="FA36" s="51"/>
      <c r="FB36" s="51"/>
      <c r="FC36" s="51"/>
      <c r="FD36" s="51"/>
      <c r="FE36" s="51"/>
      <c r="FF36" s="51"/>
      <c r="FG36" s="51"/>
      <c r="FH36" s="51"/>
      <c r="FI36" s="51"/>
    </row>
    <row r="37" spans="1:165" ht="124.5" customHeight="1" x14ac:dyDescent="0.2">
      <c r="A37" s="173" t="s">
        <v>227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Z37" s="91" t="s">
        <v>150</v>
      </c>
    </row>
    <row r="38" spans="1:165" ht="70.5" customHeight="1" x14ac:dyDescent="0.2">
      <c r="A38" s="174" t="s">
        <v>230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</row>
    <row r="39" spans="1:165" ht="24.75" customHeight="1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</row>
    <row r="40" spans="1:165" ht="41.25" customHeight="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30"/>
      <c r="FA40" s="51"/>
      <c r="FB40" s="51"/>
      <c r="FC40" s="51"/>
      <c r="FD40" s="51"/>
      <c r="FE40" s="51"/>
      <c r="FF40" s="51"/>
      <c r="FG40" s="51"/>
      <c r="FH40" s="51"/>
      <c r="FI40" s="51"/>
    </row>
    <row r="41" spans="1:165" ht="15.75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</row>
    <row r="42" spans="1:165" ht="15" x14ac:dyDescent="0.2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</row>
  </sheetData>
  <mergeCells count="57">
    <mergeCell ref="G2:AM2"/>
    <mergeCell ref="CD2:DS2"/>
    <mergeCell ref="G3:AM3"/>
    <mergeCell ref="CD3:DS3"/>
    <mergeCell ref="G4:AM4"/>
    <mergeCell ref="CD4:DS4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</mergeCells>
  <pageMargins left="0.59" right="0.11" top="0.23" bottom="0.2" header="0.19" footer="0.15"/>
  <pageSetup paperSize="9" scale="79" orientation="portrait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13" sqref="D13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3" t="s">
        <v>80</v>
      </c>
      <c r="B1" s="203"/>
      <c r="C1" s="203"/>
      <c r="D1" s="9" t="s">
        <v>150</v>
      </c>
    </row>
    <row r="2" spans="1:4" ht="24" customHeight="1" x14ac:dyDescent="0.3">
      <c r="A2" s="204" t="s">
        <v>212</v>
      </c>
      <c r="B2" s="204"/>
      <c r="C2" s="204"/>
    </row>
    <row r="3" spans="1:4" ht="24" customHeight="1" x14ac:dyDescent="0.3">
      <c r="A3" s="52"/>
    </row>
    <row r="4" spans="1:4" ht="24" customHeight="1" x14ac:dyDescent="0.2">
      <c r="A4" s="54" t="s">
        <v>81</v>
      </c>
      <c r="B4" s="54" t="s">
        <v>0</v>
      </c>
      <c r="C4" s="54" t="s">
        <v>82</v>
      </c>
    </row>
    <row r="5" spans="1:4" ht="19.5" customHeight="1" x14ac:dyDescent="0.2">
      <c r="A5" s="54">
        <v>1</v>
      </c>
      <c r="B5" s="54">
        <v>2</v>
      </c>
      <c r="C5" s="54">
        <v>3</v>
      </c>
    </row>
    <row r="6" spans="1:4" ht="24" customHeight="1" x14ac:dyDescent="0.2">
      <c r="A6" s="55"/>
      <c r="B6" s="75" t="s">
        <v>83</v>
      </c>
      <c r="C6" s="125">
        <f>11045421.69/1000</f>
        <v>11045.421689999999</v>
      </c>
    </row>
    <row r="7" spans="1:4" ht="24" customHeight="1" x14ac:dyDescent="0.2">
      <c r="A7" s="55"/>
      <c r="B7" s="57" t="s">
        <v>84</v>
      </c>
      <c r="C7" s="74">
        <f>7506588.24/1000</f>
        <v>7506.58824</v>
      </c>
    </row>
    <row r="8" spans="1:4" ht="24" customHeight="1" x14ac:dyDescent="0.2">
      <c r="A8" s="55"/>
      <c r="B8" s="58" t="s">
        <v>4</v>
      </c>
      <c r="C8" s="74"/>
    </row>
    <row r="9" spans="1:4" ht="24" customHeight="1" x14ac:dyDescent="0.2">
      <c r="A9" s="55"/>
      <c r="B9" s="58" t="s">
        <v>85</v>
      </c>
      <c r="C9" s="74">
        <f>4810.76</f>
        <v>4810.76</v>
      </c>
    </row>
    <row r="10" spans="1:4" ht="24" customHeight="1" x14ac:dyDescent="0.2">
      <c r="A10" s="55"/>
      <c r="B10" s="59" t="s">
        <v>86</v>
      </c>
      <c r="C10" s="74">
        <f>3082614.47/1000</f>
        <v>3082.61447</v>
      </c>
    </row>
    <row r="11" spans="1:4" ht="24" customHeight="1" x14ac:dyDescent="0.2">
      <c r="A11" s="55"/>
      <c r="B11" s="58" t="s">
        <v>4</v>
      </c>
      <c r="C11" s="74"/>
    </row>
    <row r="12" spans="1:4" ht="24" customHeight="1" x14ac:dyDescent="0.2">
      <c r="A12" s="55"/>
      <c r="B12" s="58" t="s">
        <v>85</v>
      </c>
      <c r="C12" s="126">
        <f>135429.96/1000</f>
        <v>135.42995999999999</v>
      </c>
    </row>
    <row r="13" spans="1:4" ht="24" customHeight="1" x14ac:dyDescent="0.2">
      <c r="A13" s="55"/>
      <c r="B13" s="75" t="s">
        <v>87</v>
      </c>
      <c r="C13" s="125">
        <f>C14+C18+C19+C20+0.01</f>
        <v>820.93758000000003</v>
      </c>
    </row>
    <row r="14" spans="1:4" ht="24" customHeight="1" x14ac:dyDescent="0.2">
      <c r="A14" s="55"/>
      <c r="B14" s="57" t="s">
        <v>88</v>
      </c>
      <c r="C14" s="74">
        <f>C16+C17</f>
        <v>748.94667000000004</v>
      </c>
    </row>
    <row r="15" spans="1:4" ht="24" customHeight="1" x14ac:dyDescent="0.2">
      <c r="A15" s="55"/>
      <c r="B15" s="60" t="s">
        <v>4</v>
      </c>
      <c r="C15" s="74"/>
    </row>
    <row r="16" spans="1:4" ht="24" customHeight="1" x14ac:dyDescent="0.2">
      <c r="A16" s="55"/>
      <c r="B16" s="60" t="s">
        <v>89</v>
      </c>
      <c r="C16" s="74">
        <f>748946.67/1000</f>
        <v>748.94667000000004</v>
      </c>
    </row>
    <row r="17" spans="1:4" ht="33" customHeight="1" x14ac:dyDescent="0.2">
      <c r="A17" s="55"/>
      <c r="B17" s="60" t="s">
        <v>90</v>
      </c>
      <c r="C17" s="74">
        <v>0</v>
      </c>
    </row>
    <row r="18" spans="1:4" ht="24" customHeight="1" x14ac:dyDescent="0.2">
      <c r="A18" s="55"/>
      <c r="B18" s="57" t="s">
        <v>91</v>
      </c>
      <c r="C18" s="74">
        <v>0</v>
      </c>
    </row>
    <row r="19" spans="1:4" ht="24" customHeight="1" x14ac:dyDescent="0.2">
      <c r="A19" s="55"/>
      <c r="B19" s="57" t="s">
        <v>92</v>
      </c>
      <c r="C19" s="74">
        <f>(11528.52-17026.2)/1000</f>
        <v>-5.4976799999999999</v>
      </c>
      <c r="D19" s="31" t="s">
        <v>196</v>
      </c>
    </row>
    <row r="20" spans="1:4" ht="24" customHeight="1" x14ac:dyDescent="0.2">
      <c r="A20" s="55"/>
      <c r="B20" s="57" t="s">
        <v>93</v>
      </c>
      <c r="C20" s="74">
        <f>(77478.59)/1000</f>
        <v>77.478589999999997</v>
      </c>
      <c r="D20" s="31" t="s">
        <v>197</v>
      </c>
    </row>
    <row r="21" spans="1:4" ht="24" customHeight="1" x14ac:dyDescent="0.2">
      <c r="A21" s="55"/>
      <c r="B21" s="75" t="s">
        <v>94</v>
      </c>
      <c r="C21" s="125">
        <f>C23+C24</f>
        <v>2.286</v>
      </c>
    </row>
    <row r="22" spans="1:4" ht="24" customHeight="1" x14ac:dyDescent="0.2">
      <c r="A22" s="55"/>
      <c r="B22" s="57" t="s">
        <v>12</v>
      </c>
      <c r="C22" s="74"/>
    </row>
    <row r="23" spans="1:4" ht="24" customHeight="1" x14ac:dyDescent="0.2">
      <c r="A23" s="55"/>
      <c r="B23" s="57" t="s">
        <v>95</v>
      </c>
      <c r="C23" s="74">
        <v>0</v>
      </c>
    </row>
    <row r="24" spans="1:4" ht="24" customHeight="1" x14ac:dyDescent="0.2">
      <c r="A24" s="55"/>
      <c r="B24" s="57" t="s">
        <v>96</v>
      </c>
      <c r="C24" s="74">
        <f>(2286)/1000</f>
        <v>2.286</v>
      </c>
      <c r="D24" s="31" t="s">
        <v>198</v>
      </c>
    </row>
    <row r="25" spans="1:4" ht="24" customHeight="1" x14ac:dyDescent="0.2">
      <c r="A25" s="55"/>
      <c r="B25" s="58" t="s">
        <v>4</v>
      </c>
      <c r="C25" s="74"/>
    </row>
    <row r="26" spans="1:4" ht="24" customHeight="1" x14ac:dyDescent="0.2">
      <c r="A26" s="55"/>
      <c r="B26" s="58" t="s">
        <v>97</v>
      </c>
      <c r="C26" s="74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view="pageBreakPreview" zoomScaleNormal="100" zoomScaleSheetLayoutView="100" workbookViewId="0">
      <pane ySplit="7" topLeftCell="A8" activePane="bottomLeft" state="frozen"/>
      <selection pane="bottomLeft" activeCell="BG129" sqref="BG129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15" customHeight="1" x14ac:dyDescent="0.2">
      <c r="A2" s="230" t="s">
        <v>213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</row>
    <row r="3" spans="1:63" ht="12.75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"/>
      <c r="BD3" s="1"/>
      <c r="BE3" s="1"/>
      <c r="BF3" s="1"/>
    </row>
    <row r="4" spans="1:63" ht="12.75" customHeight="1" x14ac:dyDescent="0.2">
      <c r="A4" s="237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9"/>
      <c r="AY4" s="246" t="s">
        <v>1</v>
      </c>
      <c r="AZ4" s="249" t="s">
        <v>2</v>
      </c>
      <c r="BA4" s="231" t="s">
        <v>3</v>
      </c>
      <c r="BB4" s="232"/>
      <c r="BC4" s="232"/>
      <c r="BD4" s="232"/>
      <c r="BE4" s="232"/>
      <c r="BF4" s="232"/>
    </row>
    <row r="5" spans="1:63" ht="12.75" customHeight="1" x14ac:dyDescent="0.2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2"/>
      <c r="AY5" s="247"/>
      <c r="AZ5" s="235"/>
      <c r="BA5" s="235" t="s">
        <v>26</v>
      </c>
      <c r="BB5" s="248" t="s">
        <v>4</v>
      </c>
      <c r="BC5" s="248"/>
      <c r="BD5" s="248"/>
      <c r="BE5" s="248"/>
      <c r="BF5" s="248"/>
    </row>
    <row r="6" spans="1:63" ht="61.5" customHeight="1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2"/>
      <c r="AY6" s="247"/>
      <c r="AZ6" s="235"/>
      <c r="BA6" s="235"/>
      <c r="BB6" s="234" t="s">
        <v>5</v>
      </c>
      <c r="BC6" s="234" t="s">
        <v>6</v>
      </c>
      <c r="BD6" s="234" t="s">
        <v>7</v>
      </c>
      <c r="BE6" s="234" t="s">
        <v>8</v>
      </c>
      <c r="BF6" s="234"/>
    </row>
    <row r="7" spans="1:63" ht="30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5"/>
      <c r="AY7" s="248"/>
      <c r="AZ7" s="236"/>
      <c r="BA7" s="236"/>
      <c r="BB7" s="234"/>
      <c r="BC7" s="234"/>
      <c r="BD7" s="234"/>
      <c r="BE7" s="169" t="s">
        <v>9</v>
      </c>
      <c r="BF7" s="169" t="s">
        <v>10</v>
      </c>
      <c r="BG7" s="120">
        <f>BA9+BA118-BA30</f>
        <v>0</v>
      </c>
      <c r="BK7" s="9" t="s">
        <v>136</v>
      </c>
    </row>
    <row r="8" spans="1:63" ht="11.1" customHeight="1" x14ac:dyDescent="0.2">
      <c r="A8" s="231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  <c r="AY8" s="2">
        <v>2</v>
      </c>
      <c r="AZ8" s="72">
        <v>3</v>
      </c>
      <c r="BA8" s="72">
        <v>4</v>
      </c>
      <c r="BB8" s="170">
        <v>5</v>
      </c>
      <c r="BC8" s="170">
        <v>6</v>
      </c>
      <c r="BD8" s="170">
        <v>7</v>
      </c>
      <c r="BE8" s="169">
        <v>8</v>
      </c>
      <c r="BF8" s="169">
        <v>9</v>
      </c>
    </row>
    <row r="9" spans="1:63" ht="23.25" customHeight="1" x14ac:dyDescent="0.2">
      <c r="A9" s="3"/>
      <c r="B9" s="250" t="s">
        <v>27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1"/>
      <c r="AY9" s="11">
        <v>100</v>
      </c>
      <c r="AZ9" s="73" t="s">
        <v>28</v>
      </c>
      <c r="BA9" s="144">
        <f>BA10+BA12+BA18+BA19+BA20+BA25+BA28+BA17</f>
        <v>21564061.199999999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1216319.2</v>
      </c>
      <c r="BF9" s="144">
        <f>BF12+BF25</f>
        <v>0</v>
      </c>
      <c r="BG9" s="104"/>
    </row>
    <row r="10" spans="1:63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3" t="s">
        <v>235</v>
      </c>
      <c r="BA10" s="145">
        <f>BE10</f>
        <v>156319.20000000001</v>
      </c>
      <c r="BB10" s="146" t="s">
        <v>28</v>
      </c>
      <c r="BC10" s="146" t="s">
        <v>28</v>
      </c>
      <c r="BD10" s="146" t="s">
        <v>28</v>
      </c>
      <c r="BE10" s="146">
        <f>162000-5680.8</f>
        <v>156319.20000000001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73"/>
      <c r="BA11" s="145"/>
      <c r="BB11" s="146"/>
      <c r="BC11" s="146"/>
      <c r="BD11" s="146"/>
      <c r="BE11" s="146"/>
      <c r="BF11" s="146"/>
    </row>
    <row r="12" spans="1:63" ht="15" customHeight="1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73" t="s">
        <v>236</v>
      </c>
      <c r="BA12" s="145">
        <f>BB12+BE12+BF12</f>
        <v>19829880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900000</v>
      </c>
      <c r="BF12" s="146">
        <v>0</v>
      </c>
      <c r="BG12" s="82" t="s">
        <v>36</v>
      </c>
    </row>
    <row r="13" spans="1:63" s="92" customFormat="1" ht="45.75" hidden="1" customHeight="1" x14ac:dyDescent="0.2">
      <c r="A13" s="210" t="s">
        <v>153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09" t="s">
        <v>152</v>
      </c>
    </row>
    <row r="14" spans="1:63" s="92" customFormat="1" ht="33.75" hidden="1" customHeight="1" x14ac:dyDescent="0.2">
      <c r="A14" s="210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09"/>
    </row>
    <row r="15" spans="1:63" s="92" customFormat="1" ht="33.75" hidden="1" customHeight="1" x14ac:dyDescent="0.2">
      <c r="A15" s="252" t="s">
        <v>226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4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09"/>
    </row>
    <row r="16" spans="1:63" s="92" customFormat="1" ht="16.5" hidden="1" customHeight="1" x14ac:dyDescent="0.2">
      <c r="A16" s="210" t="s">
        <v>158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105"/>
      <c r="AZ16" s="106" t="s">
        <v>157</v>
      </c>
      <c r="BA16" s="147"/>
      <c r="BB16" s="147"/>
      <c r="BC16" s="147"/>
      <c r="BD16" s="147"/>
      <c r="BE16" s="147">
        <f>700000+100000+100000</f>
        <v>900000</v>
      </c>
      <c r="BF16" s="147"/>
      <c r="BG16" s="209"/>
    </row>
    <row r="17" spans="1:59" s="130" customFormat="1" ht="31.5" customHeight="1" x14ac:dyDescent="0.2">
      <c r="A17" s="223" t="s">
        <v>240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5"/>
      <c r="AY17" s="162">
        <v>130</v>
      </c>
      <c r="AZ17" s="73" t="s">
        <v>242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24" customHeight="1" x14ac:dyDescent="0.2">
      <c r="A18" s="5"/>
      <c r="B18" s="218" t="s">
        <v>31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140</v>
      </c>
      <c r="AZ18" s="73" t="s">
        <v>237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62.25" customHeight="1" x14ac:dyDescent="0.2">
      <c r="A19" s="5"/>
      <c r="B19" s="218" t="s">
        <v>30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6.25" customHeight="1" x14ac:dyDescent="0.2">
      <c r="A20" s="5"/>
      <c r="B20" s="218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160</v>
      </c>
      <c r="AZ20" s="73" t="s">
        <v>238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66" hidden="1" customHeight="1" x14ac:dyDescent="0.2">
      <c r="A21" s="210" t="s">
        <v>176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63" hidden="1" customHeight="1" x14ac:dyDescent="0.2">
      <c r="A22" s="210" t="s">
        <v>194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24.75" hidden="1" customHeight="1" x14ac:dyDescent="0.2">
      <c r="A23" s="210" t="s">
        <v>225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05"/>
      <c r="AZ23" s="106" t="s">
        <v>244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hidden="1" customHeight="1" x14ac:dyDescent="0.2">
      <c r="A24" s="210" t="s">
        <v>246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105"/>
      <c r="AZ24" s="106" t="s">
        <v>245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customHeight="1" x14ac:dyDescent="0.2">
      <c r="A25" s="5"/>
      <c r="B25" s="218" t="s">
        <v>34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>
        <v>170</v>
      </c>
      <c r="AZ25" s="73" t="s">
        <v>239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32.25" hidden="1" customHeight="1" x14ac:dyDescent="0.2">
      <c r="A26" s="210" t="s">
        <v>182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3.25" hidden="1" customHeight="1" x14ac:dyDescent="0.2">
      <c r="A27" s="210" t="s">
        <v>208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26.25" customHeight="1" x14ac:dyDescent="0.2">
      <c r="A28" s="5"/>
      <c r="B28" s="218" t="s">
        <v>35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26.25" customHeight="1" x14ac:dyDescent="0.2">
      <c r="A29" s="10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73"/>
      <c r="BA29" s="145"/>
      <c r="BB29" s="146"/>
      <c r="BC29" s="146"/>
      <c r="BD29" s="146"/>
      <c r="BE29" s="146"/>
      <c r="BF29" s="146"/>
    </row>
    <row r="30" spans="1:59" ht="24.75" customHeight="1" x14ac:dyDescent="0.2">
      <c r="A30" s="3"/>
      <c r="B30" s="250" t="s">
        <v>39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1"/>
      <c r="AY30" s="11">
        <v>200</v>
      </c>
      <c r="AZ30" s="73" t="s">
        <v>28</v>
      </c>
      <c r="BA30" s="144">
        <f t="shared" ref="BA30:BF30" si="0">BA31+BA43+BA46+BA55+BA57+BA58</f>
        <v>22313007.869999997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1349161.3499999999</v>
      </c>
      <c r="BF30" s="144">
        <f t="shared" si="0"/>
        <v>0</v>
      </c>
      <c r="BG30" s="107"/>
    </row>
    <row r="31" spans="1:59" ht="51" customHeight="1" x14ac:dyDescent="0.2">
      <c r="A31" s="5"/>
      <c r="B31" s="228" t="s">
        <v>40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9"/>
      <c r="AY31" s="12">
        <v>210</v>
      </c>
      <c r="AZ31" s="73"/>
      <c r="BA31" s="145">
        <f t="shared" ref="BA31:BF31" si="1">BA32+BA39+BA42</f>
        <v>16628593.199999999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583457.06000000006</v>
      </c>
      <c r="BF31" s="149">
        <f t="shared" si="1"/>
        <v>0</v>
      </c>
    </row>
    <row r="32" spans="1:59" ht="36" customHeight="1" x14ac:dyDescent="0.2">
      <c r="A32" s="5"/>
      <c r="B32" s="228" t="s">
        <v>41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12">
        <v>211</v>
      </c>
      <c r="AZ32" s="73"/>
      <c r="BA32" s="145">
        <f>BA33+BA36</f>
        <v>16470700.199999999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575046.06000000006</v>
      </c>
      <c r="BF32" s="149">
        <f t="shared" si="2"/>
        <v>0</v>
      </c>
    </row>
    <row r="33" spans="1:59" ht="35.25" customHeight="1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73" t="s">
        <v>15</v>
      </c>
      <c r="BA33" s="145">
        <f>BB33+BC33+BD33+BE33</f>
        <v>12716999.209999999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</f>
        <v>442677.35</v>
      </c>
      <c r="BF33" s="146">
        <v>0</v>
      </c>
      <c r="BG33" s="82" t="s">
        <v>163</v>
      </c>
    </row>
    <row r="34" spans="1:59" s="92" customFormat="1" ht="12.75" hidden="1" customHeight="1" x14ac:dyDescent="0.2">
      <c r="A34" s="142"/>
      <c r="B34" s="143"/>
      <c r="C34" s="211" t="s">
        <v>191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hidden="1" customHeight="1" x14ac:dyDescent="0.2">
      <c r="A35" s="142"/>
      <c r="B35" s="143"/>
      <c r="C35" s="211" t="s">
        <v>192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customHeight="1" x14ac:dyDescent="0.2">
      <c r="A36" s="154"/>
      <c r="B36" s="172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3" t="s">
        <v>16</v>
      </c>
      <c r="BA36" s="145">
        <f>BB36+BC36+BD36+BE36</f>
        <v>3753700.9899999998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</f>
        <v>132368.71000000002</v>
      </c>
      <c r="BF36" s="146">
        <v>0</v>
      </c>
      <c r="BG36" s="82" t="s">
        <v>162</v>
      </c>
    </row>
    <row r="37" spans="1:59" s="92" customFormat="1" ht="12.75" hidden="1" customHeight="1" x14ac:dyDescent="0.2">
      <c r="A37" s="139"/>
      <c r="B37" s="226" t="s">
        <v>191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7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7.25" hidden="1" customHeight="1" x14ac:dyDescent="0.2">
      <c r="A38" s="139"/>
      <c r="B38" s="226" t="s">
        <v>192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7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21.75" customHeight="1" x14ac:dyDescent="0.2">
      <c r="A39" s="154"/>
      <c r="B39" s="17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hidden="1" customHeight="1" x14ac:dyDescent="0.2">
      <c r="A40" s="139"/>
      <c r="B40" s="140"/>
      <c r="C40" s="211" t="s">
        <v>224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12.75" hidden="1" customHeight="1" x14ac:dyDescent="0.2">
      <c r="A41" s="139"/>
      <c r="B41" s="140"/>
      <c r="C41" s="211" t="s">
        <v>243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42.75" customHeight="1" x14ac:dyDescent="0.2">
      <c r="A42" s="154"/>
      <c r="B42" s="172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231</v>
      </c>
    </row>
    <row r="43" spans="1:59" ht="12.75" customHeight="1" x14ac:dyDescent="0.2">
      <c r="A43" s="5"/>
      <c r="B43" s="228" t="s">
        <v>42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9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customHeight="1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3"/>
      <c r="BA44" s="145"/>
      <c r="BB44" s="146"/>
      <c r="BC44" s="146"/>
      <c r="BD44" s="146"/>
      <c r="BE44" s="146"/>
      <c r="BF44" s="146"/>
    </row>
    <row r="45" spans="1:59" ht="27.75" customHeight="1" x14ac:dyDescent="0.2">
      <c r="A45" s="154"/>
      <c r="B45" s="172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12.75" customHeight="1" x14ac:dyDescent="0.2">
      <c r="A46" s="154"/>
      <c r="B46" s="172"/>
      <c r="C46" s="228" t="s">
        <v>43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9"/>
      <c r="AY46" s="12">
        <v>230</v>
      </c>
      <c r="AZ46" s="73"/>
      <c r="BA46" s="145">
        <f t="shared" ref="BA46:BF46" si="4">BA49+BA50+BA54+BA48</f>
        <v>445038.08000000002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 t="shared" si="4"/>
        <v>10511.03</v>
      </c>
      <c r="BF46" s="149">
        <f t="shared" si="4"/>
        <v>0</v>
      </c>
    </row>
    <row r="47" spans="1:59" ht="26.25" customHeight="1" x14ac:dyDescent="0.2">
      <c r="A47" s="154"/>
      <c r="B47" s="172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3"/>
      <c r="BA47" s="145"/>
      <c r="BB47" s="146"/>
      <c r="BC47" s="146"/>
      <c r="BD47" s="146"/>
      <c r="BE47" s="146"/>
      <c r="BF47" s="146"/>
    </row>
    <row r="48" spans="1:59" ht="24.75" customHeight="1" x14ac:dyDescent="0.2">
      <c r="A48" s="25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7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247</v>
      </c>
    </row>
    <row r="49" spans="1:63" ht="12.75" customHeight="1" x14ac:dyDescent="0.2">
      <c r="A49" s="153"/>
      <c r="B49" s="259" t="s">
        <v>202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60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232</v>
      </c>
    </row>
    <row r="50" spans="1:63" ht="12.75" customHeight="1" x14ac:dyDescent="0.2">
      <c r="A50" s="6"/>
      <c r="B50" s="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233</v>
      </c>
    </row>
    <row r="51" spans="1:63" s="92" customFormat="1" ht="12.75" hidden="1" customHeight="1" x14ac:dyDescent="0.2">
      <c r="A51" s="220" t="s">
        <v>203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2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hidden="1" customHeight="1" x14ac:dyDescent="0.2">
      <c r="A52" s="220" t="s">
        <v>188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2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hidden="1" customHeight="1" x14ac:dyDescent="0.2">
      <c r="A53" s="220" t="s">
        <v>190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2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3" customHeight="1" x14ac:dyDescent="0.2">
      <c r="A54" s="154"/>
      <c r="B54" s="17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3" t="s">
        <v>19</v>
      </c>
      <c r="BA54" s="145">
        <f t="shared" ref="BA54" si="5">BB54+BC54+BD54+BE54</f>
        <v>10511.03</v>
      </c>
      <c r="BB54" s="146"/>
      <c r="BC54" s="146">
        <v>0</v>
      </c>
      <c r="BD54" s="146">
        <v>0</v>
      </c>
      <c r="BE54" s="146">
        <f>5000+5973.25-462.22</f>
        <v>10511.03</v>
      </c>
      <c r="BF54" s="146">
        <v>0</v>
      </c>
      <c r="BG54" s="261" t="s">
        <v>234</v>
      </c>
      <c r="BH54" s="262"/>
      <c r="BI54" s="262"/>
      <c r="BJ54" s="262"/>
      <c r="BK54" s="262"/>
    </row>
    <row r="55" spans="1:63" ht="12.75" customHeight="1" x14ac:dyDescent="0.2">
      <c r="A55" s="154"/>
      <c r="B55" s="172"/>
      <c r="C55" s="228" t="s">
        <v>44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9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29.25" customHeight="1" x14ac:dyDescent="0.2">
      <c r="A56" s="154"/>
      <c r="B56" s="172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9"/>
      <c r="AY56" s="8"/>
      <c r="AZ56" s="73"/>
      <c r="BA56" s="145"/>
      <c r="BB56" s="146"/>
      <c r="BC56" s="146"/>
      <c r="BD56" s="146"/>
      <c r="BE56" s="146"/>
      <c r="BF56" s="146"/>
    </row>
    <row r="57" spans="1:63" ht="35.25" customHeight="1" x14ac:dyDescent="0.2">
      <c r="A57" s="154"/>
      <c r="B57" s="172"/>
      <c r="C57" s="228" t="s">
        <v>45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9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customHeight="1" x14ac:dyDescent="0.2">
      <c r="A58" s="5"/>
      <c r="B58" s="228" t="s">
        <v>54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9"/>
      <c r="AY58" s="12">
        <v>260</v>
      </c>
      <c r="AZ58" s="73" t="s">
        <v>13</v>
      </c>
      <c r="BA58" s="145">
        <f>BB58+BC58+BD58+BE58</f>
        <v>5239376.59</v>
      </c>
      <c r="BB58" s="149">
        <f>SUM(BB59:BB86)</f>
        <v>3127090.3800000004</v>
      </c>
      <c r="BC58" s="149">
        <f>SUM(BC59:BC109)</f>
        <v>1357092.9500000002</v>
      </c>
      <c r="BD58" s="149">
        <v>0</v>
      </c>
      <c r="BE58" s="149">
        <f>SUM(BE59:BE109)</f>
        <v>755193.25999999978</v>
      </c>
      <c r="BF58" s="149">
        <v>0</v>
      </c>
    </row>
    <row r="59" spans="1:63" s="92" customFormat="1" ht="33" hidden="1" customHeight="1" x14ac:dyDescent="0.2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2"/>
      <c r="AY59" s="263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09" t="s">
        <v>152</v>
      </c>
    </row>
    <row r="60" spans="1:63" s="92" customFormat="1" ht="42" hidden="1" customHeight="1" x14ac:dyDescent="0.2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64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09"/>
    </row>
    <row r="61" spans="1:63" s="92" customFormat="1" ht="12.75" hidden="1" customHeight="1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2"/>
      <c r="AY61" s="264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09"/>
    </row>
    <row r="62" spans="1:63" s="92" customFormat="1" ht="12.75" hidden="1" customHeight="1" x14ac:dyDescent="0.2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2"/>
      <c r="AY62" s="264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09"/>
    </row>
    <row r="63" spans="1:63" s="92" customFormat="1" ht="12.75" hidden="1" customHeight="1" x14ac:dyDescent="0.2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264"/>
      <c r="AZ63" s="106" t="s">
        <v>168</v>
      </c>
      <c r="BA63" s="147"/>
      <c r="BB63" s="147">
        <f>302106+66601.28-11829.12</f>
        <v>356878.16000000003</v>
      </c>
      <c r="BC63" s="147"/>
      <c r="BD63" s="147"/>
      <c r="BE63" s="147"/>
      <c r="BF63" s="147"/>
      <c r="BG63" s="209"/>
    </row>
    <row r="64" spans="1:63" s="92" customFormat="1" ht="12.75" hidden="1" customHeight="1" x14ac:dyDescent="0.2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2"/>
      <c r="AY64" s="264"/>
      <c r="AZ64" s="106" t="s">
        <v>169</v>
      </c>
      <c r="BA64" s="147"/>
      <c r="BB64" s="147">
        <f>434944-37209.98+13500</f>
        <v>411234.02</v>
      </c>
      <c r="BC64" s="147"/>
      <c r="BD64" s="147"/>
      <c r="BE64" s="147"/>
      <c r="BF64" s="147"/>
      <c r="BG64" s="209"/>
    </row>
    <row r="65" spans="1:60" s="92" customFormat="1" ht="12.75" hidden="1" customHeight="1" x14ac:dyDescent="0.2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2"/>
      <c r="AY65" s="264"/>
      <c r="AZ65" s="106" t="s">
        <v>170</v>
      </c>
      <c r="BA65" s="147"/>
      <c r="BB65" s="147">
        <f>156800-29391.3</f>
        <v>127408.7</v>
      </c>
      <c r="BC65" s="147"/>
      <c r="BD65" s="147"/>
      <c r="BE65" s="147"/>
      <c r="BF65" s="147"/>
      <c r="BG65" s="209"/>
    </row>
    <row r="66" spans="1:60" s="92" customFormat="1" ht="12.75" hidden="1" customHeight="1" x14ac:dyDescent="0.2">
      <c r="A66" s="265" t="s">
        <v>172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7"/>
      <c r="AY66" s="264"/>
      <c r="AZ66" s="106" t="s">
        <v>169</v>
      </c>
      <c r="BA66" s="147"/>
      <c r="BB66" s="147"/>
      <c r="BC66" s="147"/>
      <c r="BD66" s="147"/>
      <c r="BE66" s="147"/>
      <c r="BF66" s="147"/>
      <c r="BG66" s="209"/>
    </row>
    <row r="67" spans="1:60" s="92" customFormat="1" ht="12.75" hidden="1" customHeight="1" x14ac:dyDescent="0.2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70"/>
      <c r="AY67" s="264"/>
      <c r="AZ67" s="106" t="s">
        <v>171</v>
      </c>
      <c r="BA67" s="147"/>
      <c r="BB67" s="147"/>
      <c r="BC67" s="147"/>
      <c r="BD67" s="147"/>
      <c r="BE67" s="147"/>
      <c r="BF67" s="147"/>
      <c r="BG67" s="209"/>
    </row>
    <row r="68" spans="1:60" s="92" customFormat="1" ht="12.75" hidden="1" customHeight="1" x14ac:dyDescent="0.2">
      <c r="A68" s="210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2"/>
      <c r="AY68" s="271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09"/>
    </row>
    <row r="69" spans="1:60" s="92" customFormat="1" ht="12.75" hidden="1" customHeight="1" x14ac:dyDescent="0.2">
      <c r="A69" s="210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2"/>
      <c r="AY69" s="271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09"/>
      <c r="BH69" s="156">
        <f>BB60+BB61+BB62+BB69+BB70+BB71+BE89+BE90+BE91+BE101+BE102+BE103</f>
        <v>2316786.2000000002</v>
      </c>
    </row>
    <row r="70" spans="1:60" s="92" customFormat="1" ht="12.75" hidden="1" customHeight="1" x14ac:dyDescent="0.2">
      <c r="A70" s="2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2"/>
      <c r="AY70" s="271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09"/>
    </row>
    <row r="71" spans="1:60" s="92" customFormat="1" ht="12.75" hidden="1" customHeight="1" x14ac:dyDescent="0.2">
      <c r="A71" s="210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2"/>
      <c r="AY71" s="271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09"/>
    </row>
    <row r="72" spans="1:60" s="92" customFormat="1" ht="12.75" hidden="1" customHeight="1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71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09"/>
      <c r="BH72" s="92">
        <v>0</v>
      </c>
    </row>
    <row r="73" spans="1:60" s="92" customFormat="1" ht="12.75" hidden="1" customHeight="1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71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09"/>
    </row>
    <row r="74" spans="1:60" s="92" customFormat="1" ht="12.75" hidden="1" customHeight="1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71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09"/>
    </row>
    <row r="75" spans="1:60" s="92" customFormat="1" ht="12.75" hidden="1" customHeight="1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71"/>
      <c r="AZ75" s="106" t="s">
        <v>169</v>
      </c>
      <c r="BA75" s="147"/>
      <c r="BB75" s="147"/>
      <c r="BC75" s="147"/>
      <c r="BD75" s="147"/>
      <c r="BE75" s="147"/>
      <c r="BF75" s="147"/>
      <c r="BG75" s="209"/>
    </row>
    <row r="76" spans="1:60" s="92" customFormat="1" ht="12.75" hidden="1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71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09"/>
    </row>
    <row r="77" spans="1:60" s="92" customFormat="1" ht="12.75" hidden="1" customHeight="1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71"/>
      <c r="AZ77" s="106" t="s">
        <v>170</v>
      </c>
      <c r="BA77" s="147"/>
      <c r="BB77" s="147"/>
      <c r="BC77" s="147"/>
      <c r="BD77" s="147"/>
      <c r="BE77" s="147"/>
      <c r="BF77" s="147"/>
      <c r="BG77" s="209"/>
    </row>
    <row r="78" spans="1:60" s="92" customFormat="1" ht="12.75" hidden="1" customHeight="1" x14ac:dyDescent="0.2">
      <c r="A78" s="210" t="s">
        <v>195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2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09"/>
    </row>
    <row r="79" spans="1:60" s="92" customFormat="1" ht="12.75" hidden="1" customHeight="1" x14ac:dyDescent="0.2">
      <c r="A79" s="210" t="s">
        <v>195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2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09"/>
    </row>
    <row r="80" spans="1:60" s="92" customFormat="1" ht="12.75" hidden="1" customHeight="1" x14ac:dyDescent="0.2">
      <c r="A80" s="210" t="s">
        <v>174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2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09"/>
    </row>
    <row r="81" spans="1:63" s="92" customFormat="1" ht="12.75" hidden="1" customHeight="1" x14ac:dyDescent="0.2">
      <c r="A81" s="210" t="s">
        <v>204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2"/>
      <c r="AY81" s="105"/>
      <c r="AZ81" s="106" t="s">
        <v>173</v>
      </c>
      <c r="BA81" s="147"/>
      <c r="BB81" s="147"/>
      <c r="BC81" s="147">
        <f>649062.05+52397.66</f>
        <v>701459.71000000008</v>
      </c>
      <c r="BD81" s="147"/>
      <c r="BE81" s="147"/>
      <c r="BF81" s="147"/>
      <c r="BG81" s="209"/>
    </row>
    <row r="82" spans="1:63" s="92" customFormat="1" ht="12.75" hidden="1" customHeight="1" x14ac:dyDescent="0.2">
      <c r="A82" s="210" t="s">
        <v>204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2"/>
      <c r="AY82" s="105"/>
      <c r="AZ82" s="106" t="s">
        <v>167</v>
      </c>
      <c r="BA82" s="147"/>
      <c r="BB82" s="147"/>
      <c r="BC82" s="147">
        <v>0</v>
      </c>
      <c r="BD82" s="147"/>
      <c r="BE82" s="147"/>
      <c r="BF82" s="147"/>
      <c r="BG82" s="209"/>
    </row>
    <row r="83" spans="1:63" s="92" customFormat="1" ht="12.75" hidden="1" customHeight="1" x14ac:dyDescent="0.2">
      <c r="A83" s="210" t="s">
        <v>204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2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09"/>
    </row>
    <row r="84" spans="1:63" s="92" customFormat="1" ht="14.25" hidden="1" customHeight="1" x14ac:dyDescent="0.2">
      <c r="A84" s="210" t="s">
        <v>225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2"/>
      <c r="AY84" s="105"/>
      <c r="AZ84" s="106" t="s">
        <v>169</v>
      </c>
      <c r="BA84" s="147"/>
      <c r="BB84" s="147"/>
      <c r="BC84" s="147">
        <f>100000-10000</f>
        <v>90000</v>
      </c>
      <c r="BD84" s="147"/>
      <c r="BE84" s="147"/>
      <c r="BF84" s="147"/>
      <c r="BG84" s="209"/>
    </row>
    <row r="85" spans="1:63" s="92" customFormat="1" ht="14.25" hidden="1" customHeight="1" x14ac:dyDescent="0.2">
      <c r="A85" s="210" t="s">
        <v>225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2"/>
      <c r="AY85" s="105"/>
      <c r="AZ85" s="106" t="s">
        <v>181</v>
      </c>
      <c r="BA85" s="147"/>
      <c r="BB85" s="147"/>
      <c r="BC85" s="147">
        <v>10000</v>
      </c>
      <c r="BD85" s="147"/>
      <c r="BE85" s="147"/>
      <c r="BF85" s="147"/>
      <c r="BG85" s="209"/>
    </row>
    <row r="86" spans="1:63" s="92" customFormat="1" ht="14.25" hidden="1" customHeight="1" x14ac:dyDescent="0.2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2"/>
      <c r="AY86" s="105"/>
      <c r="AZ86" s="106" t="s">
        <v>171</v>
      </c>
      <c r="BA86" s="147"/>
      <c r="BB86" s="147"/>
      <c r="BC86" s="147"/>
      <c r="BD86" s="147"/>
      <c r="BE86" s="147"/>
      <c r="BF86" s="147"/>
      <c r="BG86" s="209"/>
    </row>
    <row r="87" spans="1:63" s="92" customFormat="1" ht="14.25" hidden="1" customHeight="1" x14ac:dyDescent="0.2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2"/>
      <c r="AY87" s="105"/>
      <c r="AZ87" s="106" t="s">
        <v>170</v>
      </c>
      <c r="BA87" s="147"/>
      <c r="BB87" s="147"/>
      <c r="BC87" s="147"/>
      <c r="BD87" s="147"/>
      <c r="BE87" s="147"/>
      <c r="BF87" s="147"/>
      <c r="BG87" s="209"/>
      <c r="BH87" s="93" t="s">
        <v>183</v>
      </c>
      <c r="BI87" s="94" t="s">
        <v>184</v>
      </c>
      <c r="BJ87" s="94" t="s">
        <v>185</v>
      </c>
      <c r="BK87" s="94" t="s">
        <v>146</v>
      </c>
    </row>
    <row r="88" spans="1:63" s="92" customFormat="1" ht="14.25" hidden="1" customHeight="1" x14ac:dyDescent="0.2">
      <c r="A88" s="171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7"/>
      <c r="AY88" s="105">
        <v>2001</v>
      </c>
      <c r="AZ88" s="106" t="s">
        <v>164</v>
      </c>
      <c r="BA88" s="147"/>
      <c r="BB88" s="147"/>
      <c r="BC88" s="147"/>
      <c r="BD88" s="147"/>
      <c r="BE88" s="147">
        <f>24000+3380.4-3300+462.22</f>
        <v>24542.620000000003</v>
      </c>
      <c r="BF88" s="147"/>
      <c r="BG88" s="209"/>
      <c r="BH88" s="93">
        <v>221</v>
      </c>
      <c r="BI88" s="95">
        <f>BE88+BE104</f>
        <v>51014.94</v>
      </c>
      <c r="BJ88" s="95">
        <f>BB59+BB68</f>
        <v>47885.64</v>
      </c>
      <c r="BK88" s="95">
        <f>BI88+BJ88</f>
        <v>98900.58</v>
      </c>
    </row>
    <row r="89" spans="1:63" s="92" customFormat="1" ht="14.25" hidden="1" customHeight="1" x14ac:dyDescent="0.2">
      <c r="A89" s="171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7" t="s">
        <v>178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13000+28.46</f>
        <v>13028.46</v>
      </c>
      <c r="BF89" s="147"/>
      <c r="BG89" s="209"/>
      <c r="BH89" s="93">
        <v>222</v>
      </c>
      <c r="BI89" s="95">
        <f>0</f>
        <v>0</v>
      </c>
      <c r="BJ89" s="95">
        <f>BC80</f>
        <v>0</v>
      </c>
      <c r="BK89" s="95">
        <f t="shared" ref="BK89:BK95" si="6">BI89+BJ89</f>
        <v>0</v>
      </c>
    </row>
    <row r="90" spans="1:63" s="92" customFormat="1" ht="14.25" hidden="1" customHeight="1" x14ac:dyDescent="0.2">
      <c r="A90" s="171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7" t="s">
        <v>179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20000+244.24</f>
        <v>20244.240000000002</v>
      </c>
      <c r="BF90" s="147"/>
      <c r="BG90" s="209"/>
      <c r="BH90" s="93">
        <v>223</v>
      </c>
      <c r="BI90" s="95">
        <f>BE89+BE90+BE91+BE101+BE102+BE103</f>
        <v>203498.25</v>
      </c>
      <c r="BJ90" s="95">
        <f>BB60+BB61+BB62+BB69+BB70+BB71+BC81+BC82</f>
        <v>2814747.66</v>
      </c>
      <c r="BK90" s="95">
        <f t="shared" si="6"/>
        <v>3018245.91</v>
      </c>
    </row>
    <row r="91" spans="1:63" s="92" customFormat="1" ht="14.25" hidden="1" customHeight="1" x14ac:dyDescent="0.2">
      <c r="A91" s="171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7" t="s">
        <v>180</v>
      </c>
      <c r="AY91" s="105">
        <v>2001</v>
      </c>
      <c r="AZ91" s="106" t="s">
        <v>173</v>
      </c>
      <c r="BA91" s="147"/>
      <c r="BB91" s="147"/>
      <c r="BC91" s="147"/>
      <c r="BD91" s="147"/>
      <c r="BE91" s="147">
        <f>2000+0.02</f>
        <v>2000.02</v>
      </c>
      <c r="BF91" s="147"/>
      <c r="BG91" s="209"/>
      <c r="BH91" s="93">
        <v>225</v>
      </c>
      <c r="BI91" s="95">
        <f>BE92+BE97+BE105+BE96</f>
        <v>153568.53</v>
      </c>
      <c r="BJ91" s="95">
        <f>BB63+BB72+BC83</f>
        <v>930019.31</v>
      </c>
      <c r="BK91" s="95">
        <f t="shared" si="6"/>
        <v>1083587.8400000001</v>
      </c>
    </row>
    <row r="92" spans="1:63" s="92" customFormat="1" ht="14.25" hidden="1" customHeight="1" x14ac:dyDescent="0.2">
      <c r="A92" s="171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7"/>
      <c r="AY92" s="105">
        <v>2001</v>
      </c>
      <c r="AZ92" s="106" t="s">
        <v>168</v>
      </c>
      <c r="BA92" s="147"/>
      <c r="BB92" s="147"/>
      <c r="BC92" s="147"/>
      <c r="BD92" s="147"/>
      <c r="BE92" s="147">
        <f>45000-13031.84+48810.37</f>
        <v>80778.53</v>
      </c>
      <c r="BF92" s="147"/>
      <c r="BG92" s="209"/>
      <c r="BH92" s="93">
        <v>226</v>
      </c>
      <c r="BI92" s="95">
        <f>BE93+BE98+BE106</f>
        <v>88907.08</v>
      </c>
      <c r="BJ92" s="95">
        <f>BB64+BB66+BB75+BC79+BB73+BC84</f>
        <v>528278.02</v>
      </c>
      <c r="BK92" s="95">
        <f t="shared" si="6"/>
        <v>617185.1</v>
      </c>
    </row>
    <row r="93" spans="1:63" s="92" customFormat="1" ht="14.25" hidden="1" customHeight="1" x14ac:dyDescent="0.2">
      <c r="A93" s="171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7"/>
      <c r="AY93" s="105">
        <v>2001</v>
      </c>
      <c r="AZ93" s="106" t="s">
        <v>169</v>
      </c>
      <c r="BA93" s="147"/>
      <c r="BB93" s="147"/>
      <c r="BC93" s="147"/>
      <c r="BD93" s="147"/>
      <c r="BE93" s="147">
        <f>60000-30380.3</f>
        <v>29619.7</v>
      </c>
      <c r="BF93" s="147"/>
      <c r="BG93" s="209"/>
      <c r="BH93" s="93">
        <v>290</v>
      </c>
      <c r="BI93" s="95"/>
      <c r="BJ93" s="95">
        <f>BB67+BB76+BC78</f>
        <v>14206</v>
      </c>
      <c r="BK93" s="95">
        <f t="shared" si="6"/>
        <v>14206</v>
      </c>
    </row>
    <row r="94" spans="1:63" s="92" customFormat="1" ht="14.25" hidden="1" customHeight="1" x14ac:dyDescent="0.2">
      <c r="A94" s="171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7"/>
      <c r="AY94" s="105">
        <v>2001</v>
      </c>
      <c r="AZ94" s="106" t="s">
        <v>181</v>
      </c>
      <c r="BA94" s="147"/>
      <c r="BB94" s="147"/>
      <c r="BC94" s="147"/>
      <c r="BD94" s="147"/>
      <c r="BE94" s="147">
        <f>30000+76771.3+8150</f>
        <v>114921.3</v>
      </c>
      <c r="BF94" s="147"/>
      <c r="BG94" s="209"/>
      <c r="BH94" s="93">
        <v>310</v>
      </c>
      <c r="BI94" s="95">
        <f>BE94+BE99+BE107</f>
        <v>114921.3</v>
      </c>
      <c r="BJ94" s="95">
        <f>BC85</f>
        <v>10000</v>
      </c>
      <c r="BK94" s="95">
        <f t="shared" si="6"/>
        <v>124921.3</v>
      </c>
    </row>
    <row r="95" spans="1:63" s="92" customFormat="1" ht="14.25" hidden="1" customHeight="1" x14ac:dyDescent="0.2">
      <c r="A95" s="171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7"/>
      <c r="AY95" s="105">
        <v>2001</v>
      </c>
      <c r="AZ95" s="106" t="s">
        <v>170</v>
      </c>
      <c r="BA95" s="147"/>
      <c r="BB95" s="147"/>
      <c r="BC95" s="147"/>
      <c r="BD95" s="147"/>
      <c r="BE95" s="147">
        <f>73000+8991-30059.16-8150+40000</f>
        <v>83781.84</v>
      </c>
      <c r="BF95" s="147"/>
      <c r="BG95" s="209"/>
      <c r="BH95" s="93">
        <v>340</v>
      </c>
      <c r="BI95" s="95">
        <f>BE95+BE100+BE108+BE109</f>
        <v>143283.16</v>
      </c>
      <c r="BJ95" s="95">
        <f>BB77+BB65+BB74</f>
        <v>139046.70000000001</v>
      </c>
      <c r="BK95" s="95">
        <f t="shared" si="6"/>
        <v>282329.86</v>
      </c>
    </row>
    <row r="96" spans="1:63" s="92" customFormat="1" ht="14.25" hidden="1" customHeight="1" x14ac:dyDescent="0.2">
      <c r="A96" s="171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7"/>
      <c r="AY96" s="105">
        <v>2006</v>
      </c>
      <c r="AZ96" s="106" t="s">
        <v>168</v>
      </c>
      <c r="BA96" s="147"/>
      <c r="BB96" s="147"/>
      <c r="BC96" s="147"/>
      <c r="BD96" s="147"/>
      <c r="BE96" s="147">
        <f>60000</f>
        <v>60000</v>
      </c>
      <c r="BF96" s="147"/>
      <c r="BG96" s="209"/>
      <c r="BH96" s="93" t="s">
        <v>146</v>
      </c>
      <c r="BI96" s="95">
        <f>SUM(BI88:BI95)</f>
        <v>755193.26</v>
      </c>
      <c r="BJ96" s="95">
        <f>SUM(BJ88:BJ95)</f>
        <v>4484183.330000001</v>
      </c>
      <c r="BK96" s="95">
        <f t="shared" ref="BK96" si="7">SUM(BK88:BK95)</f>
        <v>5239376.59</v>
      </c>
    </row>
    <row r="97" spans="1:64" s="92" customFormat="1" ht="14.25" hidden="1" customHeight="1" x14ac:dyDescent="0.2">
      <c r="A97" s="171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7"/>
      <c r="AY97" s="105">
        <v>2010</v>
      </c>
      <c r="AZ97" s="106" t="s">
        <v>168</v>
      </c>
      <c r="BA97" s="147"/>
      <c r="BB97" s="147"/>
      <c r="BC97" s="147"/>
      <c r="BD97" s="147"/>
      <c r="BE97" s="147"/>
      <c r="BF97" s="147"/>
      <c r="BG97" s="209"/>
      <c r="BH97" s="93"/>
      <c r="BI97" s="97">
        <f>BE58-BI96</f>
        <v>0</v>
      </c>
      <c r="BJ97" s="97">
        <f>(BB58+BC58)-BJ96</f>
        <v>0</v>
      </c>
      <c r="BK97" s="96">
        <f>BA58-BK96</f>
        <v>0</v>
      </c>
    </row>
    <row r="98" spans="1:64" s="92" customFormat="1" ht="14.25" hidden="1" customHeight="1" x14ac:dyDescent="0.2">
      <c r="A98" s="171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/>
      <c r="AY98" s="105">
        <v>2010</v>
      </c>
      <c r="AZ98" s="106" t="s">
        <v>169</v>
      </c>
      <c r="BA98" s="147"/>
      <c r="BB98" s="147"/>
      <c r="BC98" s="147"/>
      <c r="BD98" s="147"/>
      <c r="BE98" s="147"/>
      <c r="BF98" s="147"/>
      <c r="BG98" s="209"/>
    </row>
    <row r="99" spans="1:64" s="92" customFormat="1" ht="14.25" hidden="1" customHeight="1" x14ac:dyDescent="0.2">
      <c r="A99" s="171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/>
      <c r="AY99" s="105">
        <v>2010</v>
      </c>
      <c r="AZ99" s="106" t="s">
        <v>181</v>
      </c>
      <c r="BA99" s="147"/>
      <c r="BB99" s="147"/>
      <c r="BC99" s="147"/>
      <c r="BD99" s="147"/>
      <c r="BE99" s="147"/>
      <c r="BF99" s="147"/>
      <c r="BG99" s="209"/>
      <c r="BH99" s="93" t="s">
        <v>186</v>
      </c>
      <c r="BI99" s="93" t="s">
        <v>184</v>
      </c>
      <c r="BJ99" s="93" t="s">
        <v>249</v>
      </c>
      <c r="BK99" s="98" t="s">
        <v>248</v>
      </c>
    </row>
    <row r="100" spans="1:64" s="92" customFormat="1" ht="14.25" hidden="1" customHeight="1" x14ac:dyDescent="0.2">
      <c r="A100" s="171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/>
      <c r="AY100" s="105">
        <v>2010</v>
      </c>
      <c r="AZ100" s="106" t="s">
        <v>170</v>
      </c>
      <c r="BA100" s="147"/>
      <c r="BB100" s="147"/>
      <c r="BC100" s="147"/>
      <c r="BD100" s="147"/>
      <c r="BE100" s="147">
        <f>30000-30000</f>
        <v>0</v>
      </c>
      <c r="BF100" s="147"/>
      <c r="BG100" s="209"/>
      <c r="BH100" s="93" t="s">
        <v>178</v>
      </c>
      <c r="BI100" s="99">
        <f>BE89+BE101</f>
        <v>141156.29999999999</v>
      </c>
      <c r="BJ100" s="99">
        <f>BB60+BB69+BC81</f>
        <v>1819129.1300000004</v>
      </c>
      <c r="BK100" s="99">
        <f>BJ100-BI118</f>
        <v>1819129.1300000004</v>
      </c>
      <c r="BL100" s="141">
        <f>BI100+BJ100</f>
        <v>1960285.4300000004</v>
      </c>
    </row>
    <row r="101" spans="1:64" s="92" customFormat="1" ht="14.25" hidden="1" customHeight="1" x14ac:dyDescent="0.2">
      <c r="A101" s="171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7" t="s">
        <v>178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60000+68127.84</f>
        <v>128127.84</v>
      </c>
      <c r="BF101" s="147"/>
      <c r="BG101" s="209"/>
      <c r="BH101" s="93" t="s">
        <v>179</v>
      </c>
      <c r="BI101" s="99">
        <f>BE90+BE102</f>
        <v>54244.240000000005</v>
      </c>
      <c r="BJ101" s="99">
        <f>BB61+BB70</f>
        <v>942788.99</v>
      </c>
      <c r="BK101" s="99">
        <f>BJ101-BI119</f>
        <v>942788.99</v>
      </c>
      <c r="BL101" s="141">
        <f t="shared" ref="BL101:BL103" si="8">BI101+BJ101</f>
        <v>997033.23</v>
      </c>
    </row>
    <row r="102" spans="1:64" s="92" customFormat="1" ht="14.25" hidden="1" customHeight="1" x14ac:dyDescent="0.2">
      <c r="A102" s="171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7" t="s">
        <v>179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34000</f>
        <v>34000</v>
      </c>
      <c r="BF102" s="147"/>
      <c r="BG102" s="209"/>
      <c r="BH102" s="93" t="s">
        <v>180</v>
      </c>
      <c r="BI102" s="99">
        <f>BE91+BE103</f>
        <v>8097.7099999999991</v>
      </c>
      <c r="BJ102" s="99">
        <f>BB62+BB71+BC82</f>
        <v>52829.54</v>
      </c>
      <c r="BK102" s="99">
        <f>BJ102-BI120</f>
        <v>52829.54</v>
      </c>
      <c r="BL102" s="141">
        <f t="shared" si="8"/>
        <v>60927.25</v>
      </c>
    </row>
    <row r="103" spans="1:64" s="92" customFormat="1" ht="14.25" hidden="1" customHeight="1" x14ac:dyDescent="0.2">
      <c r="A103" s="171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7" t="s">
        <v>180</v>
      </c>
      <c r="AY103" s="105">
        <v>2011</v>
      </c>
      <c r="AZ103" s="106" t="s">
        <v>173</v>
      </c>
      <c r="BA103" s="147"/>
      <c r="BB103" s="147"/>
      <c r="BC103" s="147"/>
      <c r="BD103" s="147"/>
      <c r="BE103" s="147">
        <f>6000+97.69</f>
        <v>6097.69</v>
      </c>
      <c r="BF103" s="147"/>
      <c r="BG103" s="209"/>
      <c r="BH103" s="93"/>
      <c r="BI103" s="99">
        <f>SUM(BI100:BI102)</f>
        <v>203498.24999999997</v>
      </c>
      <c r="BJ103" s="99">
        <f>SUM(BJ100:BJ102)</f>
        <v>2814747.66</v>
      </c>
      <c r="BK103" s="99">
        <f>SUM(BK100:BK102)</f>
        <v>2814747.66</v>
      </c>
      <c r="BL103" s="141">
        <f t="shared" si="8"/>
        <v>3018245.91</v>
      </c>
    </row>
    <row r="104" spans="1:64" s="92" customFormat="1" ht="14.25" hidden="1" customHeight="1" x14ac:dyDescent="0.2">
      <c r="A104" s="210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2"/>
      <c r="AY104" s="105">
        <v>2019</v>
      </c>
      <c r="AZ104" s="106" t="s">
        <v>164</v>
      </c>
      <c r="BA104" s="147"/>
      <c r="BB104" s="147"/>
      <c r="BC104" s="147"/>
      <c r="BD104" s="147"/>
      <c r="BE104" s="147">
        <f>10000+16472.32</f>
        <v>26472.32</v>
      </c>
      <c r="BF104" s="147"/>
      <c r="BG104" s="209"/>
      <c r="BH104" s="93"/>
      <c r="BI104" s="213">
        <f>BI103+BJ103</f>
        <v>3018245.91</v>
      </c>
      <c r="BJ104" s="214"/>
      <c r="BK104" s="141">
        <f>BK90-BI104</f>
        <v>0</v>
      </c>
    </row>
    <row r="105" spans="1:64" s="92" customFormat="1" ht="14.25" hidden="1" customHeight="1" x14ac:dyDescent="0.2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2"/>
      <c r="AY105" s="105">
        <v>2019</v>
      </c>
      <c r="AZ105" s="106" t="s">
        <v>168</v>
      </c>
      <c r="BA105" s="147"/>
      <c r="BB105" s="147"/>
      <c r="BC105" s="147"/>
      <c r="BD105" s="147"/>
      <c r="BE105" s="147">
        <f>20000+40-7250</f>
        <v>12790</v>
      </c>
      <c r="BF105" s="147"/>
      <c r="BG105" s="209"/>
    </row>
    <row r="106" spans="1:64" s="92" customFormat="1" ht="14.25" hidden="1" customHeight="1" x14ac:dyDescent="0.2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2"/>
      <c r="AY106" s="105">
        <v>2019</v>
      </c>
      <c r="AZ106" s="106" t="s">
        <v>169</v>
      </c>
      <c r="BA106" s="147"/>
      <c r="BB106" s="147"/>
      <c r="BC106" s="147"/>
      <c r="BD106" s="147"/>
      <c r="BE106" s="147">
        <f>99000+1109.7-40822.32</f>
        <v>59287.38</v>
      </c>
      <c r="BF106" s="147"/>
      <c r="BG106" s="209"/>
    </row>
    <row r="107" spans="1:64" s="92" customFormat="1" ht="14.25" hidden="1" customHeight="1" x14ac:dyDescent="0.2">
      <c r="A107" s="171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7"/>
      <c r="AY107" s="105">
        <f>2019</f>
        <v>2019</v>
      </c>
      <c r="AZ107" s="106" t="s">
        <v>181</v>
      </c>
      <c r="BA107" s="147"/>
      <c r="BB107" s="147"/>
      <c r="BC107" s="147"/>
      <c r="BD107" s="147"/>
      <c r="BE107" s="147">
        <f>20000-20000</f>
        <v>0</v>
      </c>
      <c r="BF107" s="147"/>
      <c r="BG107" s="209"/>
      <c r="BH107" s="100" t="s">
        <v>220</v>
      </c>
      <c r="BI107" s="100"/>
      <c r="BJ107" s="100"/>
    </row>
    <row r="108" spans="1:64" s="92" customFormat="1" ht="14.25" hidden="1" customHeight="1" x14ac:dyDescent="0.2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2"/>
      <c r="AY108" s="105">
        <v>2019</v>
      </c>
      <c r="AZ108" s="106" t="s">
        <v>170</v>
      </c>
      <c r="BA108" s="147"/>
      <c r="BB108" s="147"/>
      <c r="BC108" s="147"/>
      <c r="BD108" s="147"/>
      <c r="BE108" s="147">
        <f>13000+582.12+51600-5680.8</f>
        <v>59501.32</v>
      </c>
      <c r="BF108" s="147"/>
      <c r="BG108" s="209"/>
      <c r="BH108" s="101">
        <v>2001</v>
      </c>
      <c r="BI108" s="102">
        <v>62473.8</v>
      </c>
      <c r="BJ108" s="215">
        <f>BI108+BI109+BI110+BI111+BI112+BI113+BI114</f>
        <v>748946.67</v>
      </c>
    </row>
    <row r="109" spans="1:64" s="92" customFormat="1" ht="14.25" hidden="1" customHeight="1" x14ac:dyDescent="0.2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2"/>
      <c r="AY109" s="105">
        <f>2032</f>
        <v>2032</v>
      </c>
      <c r="AZ109" s="106" t="s">
        <v>170</v>
      </c>
      <c r="BA109" s="147"/>
      <c r="BB109" s="147"/>
      <c r="BC109" s="147"/>
      <c r="BD109" s="147"/>
      <c r="BE109" s="147">
        <v>0</v>
      </c>
      <c r="BF109" s="147"/>
      <c r="BG109" s="209"/>
      <c r="BH109" s="101">
        <v>2010</v>
      </c>
      <c r="BI109" s="102"/>
      <c r="BJ109" s="216"/>
    </row>
    <row r="110" spans="1:64" ht="12.75" x14ac:dyDescent="0.2">
      <c r="A110" s="6"/>
      <c r="B110" s="7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9"/>
      <c r="AY110" s="8"/>
      <c r="AZ110" s="73"/>
      <c r="BA110" s="145"/>
      <c r="BB110" s="146"/>
      <c r="BC110" s="146"/>
      <c r="BD110" s="146"/>
      <c r="BE110" s="146"/>
      <c r="BF110" s="146"/>
      <c r="BH110" s="101">
        <v>2011</v>
      </c>
      <c r="BI110" s="102">
        <v>68225.53</v>
      </c>
      <c r="BJ110" s="216"/>
    </row>
    <row r="111" spans="1:64" ht="12.75" x14ac:dyDescent="0.2">
      <c r="A111" s="154"/>
      <c r="B111" s="172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8"/>
      <c r="AZ111" s="73"/>
      <c r="BA111" s="145"/>
      <c r="BB111" s="146"/>
      <c r="BC111" s="146"/>
      <c r="BD111" s="146"/>
      <c r="BE111" s="146"/>
      <c r="BF111" s="146"/>
      <c r="BH111" s="101">
        <v>2019</v>
      </c>
      <c r="BI111" s="102">
        <v>1731.82</v>
      </c>
      <c r="BJ111" s="216"/>
    </row>
    <row r="112" spans="1:64" ht="12.75" x14ac:dyDescent="0.2">
      <c r="A112" s="5"/>
      <c r="B112" s="218" t="s">
        <v>46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9"/>
      <c r="AY112" s="8">
        <v>300</v>
      </c>
      <c r="AZ112" s="73" t="s">
        <v>28</v>
      </c>
      <c r="BA112" s="145">
        <f t="shared" ref="BA112:BA117" si="9">BB112+BC112+BD112+BF112</f>
        <v>0</v>
      </c>
      <c r="BB112" s="146"/>
      <c r="BC112" s="146"/>
      <c r="BD112" s="146"/>
      <c r="BE112" s="146"/>
      <c r="BF112" s="146"/>
      <c r="BH112" s="101">
        <f>2026</f>
        <v>2026</v>
      </c>
      <c r="BI112" s="102">
        <v>411</v>
      </c>
      <c r="BJ112" s="217"/>
    </row>
    <row r="113" spans="1:62" ht="12.75" customHeight="1" x14ac:dyDescent="0.2">
      <c r="A113" s="6"/>
      <c r="B113" s="7"/>
      <c r="C113" s="218" t="s">
        <v>47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9"/>
      <c r="AY113" s="8">
        <v>310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2021</v>
      </c>
      <c r="BI113" s="102"/>
      <c r="BJ113" s="108"/>
    </row>
    <row r="114" spans="1:62" ht="12.75" customHeight="1" x14ac:dyDescent="0.2">
      <c r="A114" s="154"/>
      <c r="B114" s="172"/>
      <c r="C114" s="218" t="s">
        <v>48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9"/>
      <c r="AY114" s="8">
        <v>320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01">
        <v>4000</v>
      </c>
      <c r="BI114" s="102">
        <f>616104.52</f>
        <v>616104.52</v>
      </c>
      <c r="BJ114" s="108"/>
    </row>
    <row r="115" spans="1:62" ht="12.75" customHeight="1" x14ac:dyDescent="0.2">
      <c r="A115" s="154"/>
      <c r="B115" s="172"/>
      <c r="C115" s="218" t="s">
        <v>49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8">
        <v>400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customHeight="1" x14ac:dyDescent="0.2">
      <c r="A116" s="154"/>
      <c r="B116" s="172"/>
      <c r="C116" s="218" t="s">
        <v>50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9"/>
      <c r="AY116" s="8">
        <v>410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30"/>
      <c r="BI116" s="130"/>
      <c r="BJ116" s="130"/>
    </row>
    <row r="117" spans="1:62" ht="12.75" customHeight="1" x14ac:dyDescent="0.2">
      <c r="A117" s="154"/>
      <c r="B117" s="172"/>
      <c r="C117" s="218" t="s">
        <v>51</v>
      </c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9"/>
      <c r="AY117" s="8">
        <v>420</v>
      </c>
      <c r="AZ117" s="73"/>
      <c r="BA117" s="145">
        <f t="shared" si="9"/>
        <v>0</v>
      </c>
      <c r="BB117" s="146"/>
      <c r="BC117" s="146"/>
      <c r="BD117" s="146"/>
      <c r="BE117" s="146"/>
      <c r="BF117" s="146"/>
      <c r="BH117" s="127"/>
      <c r="BI117" s="128"/>
      <c r="BJ117" s="130"/>
    </row>
    <row r="118" spans="1:62" ht="12.75" customHeight="1" x14ac:dyDescent="0.2">
      <c r="A118" s="154"/>
      <c r="B118" s="258" t="s">
        <v>22</v>
      </c>
      <c r="C118" s="228" t="s">
        <v>11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9"/>
      <c r="AY118" s="12" t="s">
        <v>23</v>
      </c>
      <c r="AZ118" s="73" t="s">
        <v>28</v>
      </c>
      <c r="BA118" s="145">
        <f>BB118+BC118+BD118+BE118</f>
        <v>748946.67</v>
      </c>
      <c r="BB118" s="149">
        <f>488717.38+127387.14</f>
        <v>616104.52</v>
      </c>
      <c r="BC118" s="149">
        <v>0</v>
      </c>
      <c r="BD118" s="149">
        <v>0</v>
      </c>
      <c r="BE118" s="149">
        <f>132842.15</f>
        <v>132842.15</v>
      </c>
      <c r="BF118" s="149">
        <v>0</v>
      </c>
      <c r="BH118" s="127"/>
      <c r="BI118" s="129"/>
      <c r="BJ118" s="130"/>
    </row>
    <row r="119" spans="1:62" ht="14.25" customHeight="1" x14ac:dyDescent="0.2">
      <c r="A119" s="154"/>
      <c r="B119" s="205" t="s">
        <v>24</v>
      </c>
      <c r="C119" s="206" t="s">
        <v>11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169" t="s">
        <v>25</v>
      </c>
      <c r="AZ119" s="73" t="s">
        <v>28</v>
      </c>
      <c r="BA119" s="145">
        <f>BB119+BC119+BD119+BF119</f>
        <v>0</v>
      </c>
      <c r="BB119" s="146"/>
      <c r="BC119" s="146"/>
      <c r="BD119" s="146"/>
      <c r="BE119" s="146"/>
      <c r="BF119" s="146"/>
      <c r="BH119" s="127"/>
      <c r="BI119" s="129"/>
    </row>
    <row r="120" spans="1:62" ht="10.15" customHeight="1" x14ac:dyDescent="0.2">
      <c r="A120" s="112"/>
      <c r="B120" s="119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customHeight="1" x14ac:dyDescent="0.2">
      <c r="A121" s="112"/>
      <c r="B121" s="11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6"/>
      <c r="AZ121" s="117"/>
      <c r="BA121" s="118"/>
      <c r="BB121" s="114"/>
      <c r="BC121" s="114"/>
      <c r="BD121" s="114"/>
      <c r="BE121" s="114"/>
      <c r="BF121" s="114"/>
      <c r="BH121" s="127"/>
      <c r="BI121" s="129"/>
    </row>
    <row r="122" spans="1:62" ht="14.25" customHeight="1" x14ac:dyDescent="0.2">
      <c r="A122" s="207" t="s">
        <v>57</v>
      </c>
      <c r="B122" s="207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BA122" s="109">
        <f t="shared" ref="BA122:BF122" si="10">BA30-BA9-BA118</f>
        <v>-1.9790604710578918E-9</v>
      </c>
      <c r="BB122" s="109">
        <f t="shared" si="10"/>
        <v>0</v>
      </c>
      <c r="BC122" s="109">
        <f t="shared" si="10"/>
        <v>2.3283064365386963E-10</v>
      </c>
      <c r="BD122" s="109">
        <f t="shared" si="10"/>
        <v>0</v>
      </c>
      <c r="BE122" s="109">
        <f t="shared" si="10"/>
        <v>0</v>
      </c>
      <c r="BF122" s="109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0.15" customHeight="1" x14ac:dyDescent="0.2">
      <c r="BB125" s="111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A53:AX53"/>
    <mergeCell ref="BG54:BK54"/>
    <mergeCell ref="C57:AX57"/>
    <mergeCell ref="B58:AX58"/>
    <mergeCell ref="AY59:AY67"/>
    <mergeCell ref="A65:AX65"/>
    <mergeCell ref="A66:AX67"/>
    <mergeCell ref="AY68:AY77"/>
    <mergeCell ref="A71:AX71"/>
    <mergeCell ref="A62:AX62"/>
    <mergeCell ref="C54:AX54"/>
    <mergeCell ref="C55:AX55"/>
    <mergeCell ref="C56:AX56"/>
    <mergeCell ref="A59:AX59"/>
    <mergeCell ref="A68:AX68"/>
    <mergeCell ref="A78:AX78"/>
    <mergeCell ref="A60:AX60"/>
    <mergeCell ref="A104:AX104"/>
    <mergeCell ref="A63:AX63"/>
    <mergeCell ref="A69:AX69"/>
    <mergeCell ref="A79:AX79"/>
    <mergeCell ref="A61:AX61"/>
    <mergeCell ref="A70:AX70"/>
    <mergeCell ref="A80:AX80"/>
    <mergeCell ref="A64:AX64"/>
    <mergeCell ref="A81:AX81"/>
    <mergeCell ref="A82:AX82"/>
    <mergeCell ref="A83:AX83"/>
    <mergeCell ref="A84:AX84"/>
    <mergeCell ref="A85:AX85"/>
    <mergeCell ref="A86:AX86"/>
    <mergeCell ref="B9:AX9"/>
    <mergeCell ref="B10:AX10"/>
    <mergeCell ref="B11:AX11"/>
    <mergeCell ref="B12:AX12"/>
    <mergeCell ref="B20:AX20"/>
    <mergeCell ref="A23:AX23"/>
    <mergeCell ref="B29:AX29"/>
    <mergeCell ref="C34:AX34"/>
    <mergeCell ref="C40:AX40"/>
    <mergeCell ref="B31:AX31"/>
    <mergeCell ref="B30:AX30"/>
    <mergeCell ref="B18:AX18"/>
    <mergeCell ref="B19:AX19"/>
    <mergeCell ref="A21:AX21"/>
    <mergeCell ref="A22:AX22"/>
    <mergeCell ref="A26:AX26"/>
    <mergeCell ref="B28:AX28"/>
    <mergeCell ref="A13:AX13"/>
    <mergeCell ref="A14:AX14"/>
    <mergeCell ref="A15:AX15"/>
    <mergeCell ref="A16:AX16"/>
    <mergeCell ref="B25:AX25"/>
    <mergeCell ref="A27:AX27"/>
    <mergeCell ref="B32:AX32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3:BG16"/>
    <mergeCell ref="C45:AX45"/>
    <mergeCell ref="A52:AX52"/>
    <mergeCell ref="A17:AX17"/>
    <mergeCell ref="C33:AX33"/>
    <mergeCell ref="B37:AX37"/>
    <mergeCell ref="C39:AX39"/>
    <mergeCell ref="C44:AX44"/>
    <mergeCell ref="C35:AX35"/>
    <mergeCell ref="C41:AX41"/>
    <mergeCell ref="C46:AX46"/>
    <mergeCell ref="A51:AX51"/>
    <mergeCell ref="A24:AX24"/>
    <mergeCell ref="C36:AX36"/>
    <mergeCell ref="B38:AX38"/>
    <mergeCell ref="C42:AX42"/>
    <mergeCell ref="B43:AX43"/>
    <mergeCell ref="C47:AX47"/>
    <mergeCell ref="A48:AX48"/>
    <mergeCell ref="B49:AX49"/>
    <mergeCell ref="C50:AX50"/>
    <mergeCell ref="B119:AX119"/>
    <mergeCell ref="A122:AX122"/>
    <mergeCell ref="BG59:BG109"/>
    <mergeCell ref="A87:AX87"/>
    <mergeCell ref="BI104:BJ104"/>
    <mergeCell ref="A106:AX106"/>
    <mergeCell ref="BJ108:BJ112"/>
    <mergeCell ref="A109:AX109"/>
    <mergeCell ref="C111:AX111"/>
    <mergeCell ref="B112:AX112"/>
    <mergeCell ref="C117:AX117"/>
    <mergeCell ref="C114:AX114"/>
    <mergeCell ref="C115:AX115"/>
    <mergeCell ref="C116:AX116"/>
    <mergeCell ref="A105:AX105"/>
    <mergeCell ref="C110:AX110"/>
    <mergeCell ref="C113:AX113"/>
    <mergeCell ref="B118:AX118"/>
    <mergeCell ref="A108:AX108"/>
  </mergeCells>
  <pageMargins left="0.11811023622047245" right="0.11811023622047245" top="0" bottom="0" header="0.31496062992125984" footer="0.31496062992125984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9"/>
  <sheetViews>
    <sheetView view="pageBreakPreview" zoomScaleNormal="71" zoomScaleSheetLayoutView="100" workbookViewId="0">
      <pane ySplit="8" topLeftCell="A36" activePane="bottomLeft" state="frozen"/>
      <selection pane="bottomLeft" activeCell="BI43" sqref="BI43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285156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3.140625" style="31" customWidth="1"/>
    <col min="58" max="58" width="9.7109375" style="31" customWidth="1"/>
    <col min="59" max="59" width="12.710937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30" t="s">
        <v>187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37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9"/>
      <c r="AY4" s="246" t="s">
        <v>1</v>
      </c>
      <c r="AZ4" s="246" t="s">
        <v>2</v>
      </c>
      <c r="BA4" s="231" t="s">
        <v>3</v>
      </c>
      <c r="BB4" s="232"/>
      <c r="BC4" s="232"/>
      <c r="BD4" s="232"/>
      <c r="BE4" s="232"/>
      <c r="BF4" s="232"/>
    </row>
    <row r="5" spans="1:59" ht="12.75" customHeight="1" x14ac:dyDescent="0.2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2"/>
      <c r="AY5" s="247"/>
      <c r="AZ5" s="247"/>
      <c r="BA5" s="247" t="s">
        <v>26</v>
      </c>
      <c r="BB5" s="248" t="s">
        <v>4</v>
      </c>
      <c r="BC5" s="248"/>
      <c r="BD5" s="248"/>
      <c r="BE5" s="248"/>
      <c r="BF5" s="248"/>
    </row>
    <row r="6" spans="1:59" ht="61.5" customHeight="1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2"/>
      <c r="AY6" s="247"/>
      <c r="AZ6" s="247"/>
      <c r="BA6" s="247"/>
      <c r="BB6" s="234" t="s">
        <v>5</v>
      </c>
      <c r="BC6" s="234" t="s">
        <v>6</v>
      </c>
      <c r="BD6" s="234" t="s">
        <v>7</v>
      </c>
      <c r="BE6" s="234" t="s">
        <v>8</v>
      </c>
      <c r="BF6" s="234"/>
    </row>
    <row r="7" spans="1:59" ht="31.5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5"/>
      <c r="AY7" s="248"/>
      <c r="AZ7" s="248"/>
      <c r="BA7" s="248"/>
      <c r="BB7" s="234"/>
      <c r="BC7" s="234"/>
      <c r="BD7" s="234"/>
      <c r="BE7" s="159" t="s">
        <v>9</v>
      </c>
      <c r="BF7" s="159" t="s">
        <v>10</v>
      </c>
    </row>
    <row r="8" spans="1:59" ht="11.1" customHeight="1" x14ac:dyDescent="0.2">
      <c r="A8" s="231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50" t="s">
        <v>27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1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235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4"/>
      <c r="BA11" s="81"/>
      <c r="BB11" s="81"/>
      <c r="BC11" s="81"/>
      <c r="BD11" s="81"/>
      <c r="BE11" s="81"/>
      <c r="BF11" s="81"/>
    </row>
    <row r="12" spans="1:59" ht="12.75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4" t="s">
        <v>236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241</v>
      </c>
    </row>
    <row r="13" spans="1:59" ht="27" customHeight="1" x14ac:dyDescent="0.2">
      <c r="A13" s="5"/>
      <c r="B13" s="218" t="s">
        <v>240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130</v>
      </c>
      <c r="AZ13" s="4" t="s">
        <v>242</v>
      </c>
      <c r="BA13" s="81">
        <f>BB13+BE13+BF13</f>
        <v>100000</v>
      </c>
      <c r="BB13" s="81"/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165">
        <v>2011</v>
      </c>
    </row>
    <row r="14" spans="1:59" ht="24" customHeight="1" x14ac:dyDescent="0.2">
      <c r="A14" s="5"/>
      <c r="B14" s="218" t="s">
        <v>31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140</v>
      </c>
      <c r="AZ14" s="4" t="s">
        <v>237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56.25" customHeight="1" x14ac:dyDescent="0.2">
      <c r="A15" s="5"/>
      <c r="B15" s="218" t="s">
        <v>30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26.25" customHeight="1" x14ac:dyDescent="0.2">
      <c r="A16" s="5"/>
      <c r="B16" s="218" t="s">
        <v>33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160</v>
      </c>
      <c r="AZ16" s="4" t="s">
        <v>238</v>
      </c>
      <c r="BA16" s="81">
        <f>BC16+BD16</f>
        <v>54862</v>
      </c>
      <c r="BB16" s="81" t="s">
        <v>28</v>
      </c>
      <c r="BC16" s="81">
        <f>54862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59" ht="13.5" customHeight="1" x14ac:dyDescent="0.2">
      <c r="A17" s="5"/>
      <c r="B17" s="218" t="s">
        <v>34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17</v>
      </c>
      <c r="AZ17" s="4" t="s">
        <v>239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59" ht="18" customHeight="1" x14ac:dyDescent="0.2">
      <c r="A18" s="5"/>
      <c r="B18" s="218" t="s">
        <v>35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59" ht="12" customHeight="1" x14ac:dyDescent="0.2">
      <c r="A19" s="10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4"/>
      <c r="BA19" s="81"/>
      <c r="BB19" s="81"/>
      <c r="BC19" s="81"/>
      <c r="BD19" s="81"/>
      <c r="BE19" s="81"/>
      <c r="BF19" s="81"/>
    </row>
    <row r="20" spans="1:59" ht="25.5" customHeight="1" x14ac:dyDescent="0.2">
      <c r="A20" s="3"/>
      <c r="B20" s="250" t="s">
        <v>39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1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3"/>
    </row>
    <row r="21" spans="1:59" ht="36" customHeight="1" x14ac:dyDescent="0.2">
      <c r="A21" s="5"/>
      <c r="B21" s="228" t="s">
        <v>40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59" ht="35.25" customHeight="1" x14ac:dyDescent="0.2">
      <c r="A22" s="5"/>
      <c r="B22" s="228" t="s">
        <v>41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9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59" ht="12.75" x14ac:dyDescent="0.2">
      <c r="A23" s="6"/>
      <c r="B23" s="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/>
      <c r="BE23" s="81">
        <f>324000</f>
        <v>324000</v>
      </c>
      <c r="BF23" s="81"/>
      <c r="BG23" s="31" t="s">
        <v>221</v>
      </c>
    </row>
    <row r="24" spans="1:59" ht="12.75" x14ac:dyDescent="0.2">
      <c r="A24" s="154"/>
      <c r="B24" s="16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/>
      <c r="BE24" s="81">
        <f>96000</f>
        <v>96000</v>
      </c>
      <c r="BF24" s="81">
        <v>0</v>
      </c>
      <c r="BG24" s="31" t="s">
        <v>222</v>
      </c>
    </row>
    <row r="25" spans="1:59" ht="12.75" x14ac:dyDescent="0.2">
      <c r="A25" s="154"/>
      <c r="B25" s="161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/>
      <c r="BE25" s="81">
        <f>8000</f>
        <v>8000</v>
      </c>
      <c r="BF25" s="81">
        <v>0</v>
      </c>
      <c r="BG25" s="31" t="s">
        <v>223</v>
      </c>
    </row>
    <row r="26" spans="1:59" ht="12.75" x14ac:dyDescent="0.2">
      <c r="A26" s="154"/>
      <c r="B26" s="16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/>
      <c r="BE26" s="81"/>
      <c r="BF26" s="81">
        <v>0</v>
      </c>
      <c r="BG26" s="31" t="s">
        <v>223</v>
      </c>
    </row>
    <row r="27" spans="1:59" ht="33" customHeight="1" x14ac:dyDescent="0.2">
      <c r="A27" s="5"/>
      <c r="B27" s="228" t="s">
        <v>42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59" ht="12.75" x14ac:dyDescent="0.2">
      <c r="A28" s="6"/>
      <c r="B28" s="7"/>
      <c r="C28" s="218" t="s">
        <v>12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/>
      <c r="BA28" s="81"/>
      <c r="BB28" s="81"/>
      <c r="BC28" s="81"/>
      <c r="BD28" s="81"/>
      <c r="BE28" s="81"/>
      <c r="BF28" s="81"/>
    </row>
    <row r="29" spans="1:59" ht="12.75" x14ac:dyDescent="0.2">
      <c r="A29" s="154"/>
      <c r="B29" s="16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59" ht="21.95" customHeight="1" x14ac:dyDescent="0.2">
      <c r="A30" s="154"/>
      <c r="B30" s="161"/>
      <c r="C30" s="228" t="s">
        <v>43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59" ht="10.5" customHeight="1" x14ac:dyDescent="0.2">
      <c r="A31" s="154"/>
      <c r="B31" s="161"/>
      <c r="C31" s="218" t="s">
        <v>12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/>
      <c r="BA31" s="81"/>
      <c r="BB31" s="81"/>
      <c r="BC31" s="81"/>
      <c r="BD31" s="81"/>
      <c r="BE31" s="81"/>
      <c r="BF31" s="81"/>
    </row>
    <row r="32" spans="1:59" ht="12.75" x14ac:dyDescent="0.2">
      <c r="A32" s="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18</v>
      </c>
      <c r="BA33" s="81">
        <f>BB33+BC33+BD33+BE33</f>
        <v>34328</v>
      </c>
      <c r="BB33" s="81">
        <f>1450+32878</f>
        <v>34328</v>
      </c>
      <c r="BC33" s="81">
        <v>0</v>
      </c>
      <c r="BD33" s="81"/>
      <c r="BE33" s="81"/>
      <c r="BF33" s="81">
        <v>0</v>
      </c>
    </row>
    <row r="34" spans="1:59" ht="12.75" x14ac:dyDescent="0.2">
      <c r="A34" s="154"/>
      <c r="B34" s="161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8"/>
      <c r="AZ34" s="4" t="s">
        <v>19</v>
      </c>
      <c r="BA34" s="81">
        <f t="shared" ref="BA34" si="5">BB34+BC34+BD34+BE34</f>
        <v>5000</v>
      </c>
      <c r="BB34" s="81">
        <v>0</v>
      </c>
      <c r="BC34" s="81">
        <v>0</v>
      </c>
      <c r="BD34" s="81"/>
      <c r="BE34" s="81">
        <f>5000</f>
        <v>5000</v>
      </c>
      <c r="BF34" s="81">
        <v>0</v>
      </c>
    </row>
    <row r="35" spans="1:59" ht="23.25" customHeight="1" x14ac:dyDescent="0.2">
      <c r="A35" s="154"/>
      <c r="B35" s="161"/>
      <c r="C35" s="228" t="s">
        <v>44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9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11.1" customHeight="1" x14ac:dyDescent="0.2">
      <c r="A36" s="154"/>
      <c r="B36" s="16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4"/>
      <c r="BA36" s="81"/>
      <c r="BB36" s="81"/>
      <c r="BC36" s="81"/>
      <c r="BD36" s="81"/>
      <c r="BE36" s="81"/>
      <c r="BF36" s="81"/>
    </row>
    <row r="37" spans="1:59" ht="23.25" customHeight="1" x14ac:dyDescent="0.2">
      <c r="A37" s="154"/>
      <c r="B37" s="161"/>
      <c r="C37" s="228" t="s">
        <v>45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32.25" customHeight="1" x14ac:dyDescent="0.2">
      <c r="A38" s="5"/>
      <c r="B38" s="228" t="s">
        <v>54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f>37380</f>
        <v>37380</v>
      </c>
      <c r="BD38" s="84"/>
      <c r="BE38" s="84">
        <f>34000+135000+50000+86000+125000+159000</f>
        <v>589000</v>
      </c>
      <c r="BF38" s="84">
        <v>0</v>
      </c>
    </row>
    <row r="39" spans="1:59" ht="12.75" x14ac:dyDescent="0.2">
      <c r="A39" s="6"/>
      <c r="B39" s="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81"/>
      <c r="BB39" s="81"/>
      <c r="BC39" s="81"/>
      <c r="BD39" s="81"/>
      <c r="BE39" s="81"/>
      <c r="BF39" s="81"/>
    </row>
    <row r="40" spans="1:59" ht="11.1" customHeight="1" x14ac:dyDescent="0.2">
      <c r="A40" s="154"/>
      <c r="B40" s="161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4"/>
      <c r="BA40" s="81"/>
      <c r="BB40" s="81"/>
      <c r="BC40" s="81"/>
      <c r="BD40" s="81"/>
      <c r="BE40" s="81"/>
      <c r="BF40" s="81"/>
    </row>
    <row r="41" spans="1:59" ht="22.5" customHeight="1" x14ac:dyDescent="0.2">
      <c r="A41" s="5"/>
      <c r="B41" s="218" t="s">
        <v>46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25.5" customHeight="1" x14ac:dyDescent="0.2">
      <c r="A42" s="6"/>
      <c r="B42" s="7"/>
      <c r="C42" s="218" t="s">
        <v>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14.25" customHeight="1" x14ac:dyDescent="0.2">
      <c r="A43" s="154"/>
      <c r="B43" s="161"/>
      <c r="C43" s="218" t="s">
        <v>48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18" t="s">
        <v>49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21.95" customHeight="1" x14ac:dyDescent="0.2">
      <c r="A45" s="154"/>
      <c r="B45" s="161"/>
      <c r="C45" s="218" t="s">
        <v>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2" customHeight="1" x14ac:dyDescent="0.2">
      <c r="A46" s="154"/>
      <c r="B46" s="161"/>
      <c r="C46" s="218" t="s">
        <v>51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1.1" customHeight="1" x14ac:dyDescent="0.2">
      <c r="A47" s="154"/>
      <c r="B47" s="258" t="s">
        <v>22</v>
      </c>
      <c r="C47" s="228" t="s">
        <v>11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9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10.5" customHeight="1" x14ac:dyDescent="0.2">
      <c r="A48" s="154"/>
      <c r="B48" s="272" t="s">
        <v>24</v>
      </c>
      <c r="C48" s="218" t="s">
        <v>11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9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16.5" customHeight="1" x14ac:dyDescent="0.2">
      <c r="A49" s="207" t="s">
        <v>57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9"/>
  <sheetViews>
    <sheetView view="pageBreakPreview" zoomScaleNormal="71" zoomScaleSheetLayoutView="100" workbookViewId="0">
      <pane ySplit="8" topLeftCell="A30" activePane="bottomLeft" state="frozen"/>
      <selection pane="bottomLeft" activeCell="AY56" sqref="AY56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57031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2.28515625" style="31" customWidth="1"/>
    <col min="58" max="58" width="9.7109375" style="31" customWidth="1"/>
    <col min="59" max="59" width="13.4257812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30" t="s">
        <v>214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37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9"/>
      <c r="AY4" s="246" t="s">
        <v>1</v>
      </c>
      <c r="AZ4" s="246" t="s">
        <v>2</v>
      </c>
      <c r="BA4" s="231" t="s">
        <v>3</v>
      </c>
      <c r="BB4" s="232"/>
      <c r="BC4" s="232"/>
      <c r="BD4" s="232"/>
      <c r="BE4" s="232"/>
      <c r="BF4" s="232"/>
    </row>
    <row r="5" spans="1:59" ht="12.75" customHeight="1" x14ac:dyDescent="0.2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2"/>
      <c r="AY5" s="247"/>
      <c r="AZ5" s="247"/>
      <c r="BA5" s="247" t="s">
        <v>26</v>
      </c>
      <c r="BB5" s="248" t="s">
        <v>4</v>
      </c>
      <c r="BC5" s="248"/>
      <c r="BD5" s="248"/>
      <c r="BE5" s="248"/>
      <c r="BF5" s="248"/>
    </row>
    <row r="6" spans="1:59" ht="61.5" customHeight="1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2"/>
      <c r="AY6" s="247"/>
      <c r="AZ6" s="247"/>
      <c r="BA6" s="247"/>
      <c r="BB6" s="234" t="s">
        <v>5</v>
      </c>
      <c r="BC6" s="234" t="s">
        <v>6</v>
      </c>
      <c r="BD6" s="234" t="s">
        <v>7</v>
      </c>
      <c r="BE6" s="234" t="s">
        <v>8</v>
      </c>
      <c r="BF6" s="234"/>
    </row>
    <row r="7" spans="1:59" ht="26.25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5"/>
      <c r="AY7" s="248"/>
      <c r="AZ7" s="248"/>
      <c r="BA7" s="248"/>
      <c r="BB7" s="234"/>
      <c r="BC7" s="234"/>
      <c r="BD7" s="234"/>
      <c r="BE7" s="159" t="s">
        <v>9</v>
      </c>
      <c r="BF7" s="159" t="s">
        <v>10</v>
      </c>
    </row>
    <row r="8" spans="1:59" ht="11.1" customHeight="1" x14ac:dyDescent="0.2">
      <c r="A8" s="231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50" t="s">
        <v>27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1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235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4"/>
      <c r="BA11" s="81"/>
      <c r="BB11" s="81"/>
      <c r="BC11" s="81"/>
      <c r="BD11" s="81"/>
      <c r="BE11" s="81"/>
      <c r="BF11" s="81"/>
    </row>
    <row r="12" spans="1:59" ht="12.75" customHeight="1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4" t="s">
        <v>236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36</v>
      </c>
    </row>
    <row r="13" spans="1:59" ht="24" customHeight="1" x14ac:dyDescent="0.2">
      <c r="A13" s="5"/>
      <c r="B13" s="218" t="s">
        <v>240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130</v>
      </c>
      <c r="AZ13" s="4" t="s">
        <v>242</v>
      </c>
      <c r="BA13" s="81">
        <f>BB13+BE13+BF13</f>
        <v>100000</v>
      </c>
      <c r="BB13" s="81">
        <v>0</v>
      </c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9" t="s">
        <v>36</v>
      </c>
    </row>
    <row r="14" spans="1:59" ht="56.25" customHeight="1" x14ac:dyDescent="0.2">
      <c r="A14" s="5"/>
      <c r="B14" s="218" t="s">
        <v>31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140</v>
      </c>
      <c r="AZ14" s="4" t="s">
        <v>237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26.25" customHeight="1" x14ac:dyDescent="0.2">
      <c r="A15" s="5"/>
      <c r="B15" s="218" t="s">
        <v>30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13.5" customHeight="1" x14ac:dyDescent="0.2">
      <c r="A16" s="5"/>
      <c r="B16" s="218" t="s">
        <v>33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160</v>
      </c>
      <c r="AZ16" s="4" t="s">
        <v>238</v>
      </c>
      <c r="BA16" s="81">
        <f>BC16+BD16</f>
        <v>54862</v>
      </c>
      <c r="BB16" s="81" t="s">
        <v>28</v>
      </c>
      <c r="BC16" s="81">
        <f>15000+2482+37380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60" ht="13.5" customHeight="1" x14ac:dyDescent="0.2">
      <c r="A17" s="5"/>
      <c r="B17" s="218" t="s">
        <v>34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170</v>
      </c>
      <c r="AZ17" s="4" t="s">
        <v>239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60" ht="18" customHeight="1" x14ac:dyDescent="0.2">
      <c r="A18" s="5"/>
      <c r="B18" s="218" t="s">
        <v>35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60" ht="12" customHeight="1" x14ac:dyDescent="0.2">
      <c r="A19" s="10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4"/>
      <c r="BA19" s="81"/>
      <c r="BB19" s="81"/>
      <c r="BC19" s="81"/>
      <c r="BD19" s="81"/>
      <c r="BE19" s="81"/>
      <c r="BF19" s="81"/>
    </row>
    <row r="20" spans="1:60" ht="25.5" customHeight="1" x14ac:dyDescent="0.2">
      <c r="A20" s="3"/>
      <c r="B20" s="250" t="s">
        <v>39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1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6"/>
      <c r="BH20" s="35"/>
    </row>
    <row r="21" spans="1:60" ht="36" customHeight="1" x14ac:dyDescent="0.2">
      <c r="A21" s="5"/>
      <c r="B21" s="228" t="s">
        <v>40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60" ht="35.25" customHeight="1" x14ac:dyDescent="0.2">
      <c r="A22" s="5"/>
      <c r="B22" s="228" t="s">
        <v>41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9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60" ht="12.75" x14ac:dyDescent="0.2">
      <c r="A23" s="6"/>
      <c r="B23" s="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>
        <v>0</v>
      </c>
      <c r="BE23" s="81">
        <f>324000</f>
        <v>324000</v>
      </c>
      <c r="BF23" s="81">
        <v>0</v>
      </c>
    </row>
    <row r="24" spans="1:60" ht="12.75" x14ac:dyDescent="0.2">
      <c r="A24" s="154"/>
      <c r="B24" s="16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>
        <v>0</v>
      </c>
      <c r="BE24" s="81">
        <f>96000</f>
        <v>96000</v>
      </c>
      <c r="BF24" s="81">
        <v>0</v>
      </c>
    </row>
    <row r="25" spans="1:60" ht="12.75" x14ac:dyDescent="0.2">
      <c r="A25" s="154"/>
      <c r="B25" s="161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>
        <v>0</v>
      </c>
      <c r="BE25" s="81">
        <f>8000</f>
        <v>8000</v>
      </c>
      <c r="BF25" s="81">
        <v>0</v>
      </c>
    </row>
    <row r="26" spans="1:60" ht="12.75" x14ac:dyDescent="0.2">
      <c r="A26" s="154"/>
      <c r="B26" s="16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>
        <v>0</v>
      </c>
      <c r="BE26" s="81"/>
      <c r="BF26" s="81">
        <v>0</v>
      </c>
    </row>
    <row r="27" spans="1:60" ht="33" customHeight="1" x14ac:dyDescent="0.2">
      <c r="A27" s="5"/>
      <c r="B27" s="228" t="s">
        <v>42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60" ht="12.75" x14ac:dyDescent="0.2">
      <c r="A28" s="6"/>
      <c r="B28" s="7"/>
      <c r="C28" s="218" t="s">
        <v>12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/>
      <c r="BA28" s="81"/>
      <c r="BB28" s="81"/>
      <c r="BC28" s="81"/>
      <c r="BD28" s="81"/>
      <c r="BE28" s="81"/>
      <c r="BF28" s="81"/>
    </row>
    <row r="29" spans="1:60" ht="12.75" x14ac:dyDescent="0.2">
      <c r="A29" s="154"/>
      <c r="B29" s="16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60" ht="21.95" customHeight="1" x14ac:dyDescent="0.2">
      <c r="A30" s="154"/>
      <c r="B30" s="161"/>
      <c r="C30" s="228" t="s">
        <v>43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60" ht="10.5" customHeight="1" x14ac:dyDescent="0.2">
      <c r="A31" s="154"/>
      <c r="B31" s="161"/>
      <c r="C31" s="218" t="s">
        <v>12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/>
      <c r="BA31" s="81"/>
      <c r="BB31" s="81"/>
      <c r="BC31" s="81"/>
      <c r="BD31" s="81"/>
      <c r="BE31" s="81"/>
      <c r="BF31" s="81"/>
    </row>
    <row r="32" spans="1:60" ht="12.75" x14ac:dyDescent="0.2">
      <c r="A32" s="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18</v>
      </c>
      <c r="BA33" s="81">
        <f>BB33+BC33+BD33+BE33</f>
        <v>34328</v>
      </c>
      <c r="BB33" s="81">
        <f>32878+1450</f>
        <v>34328</v>
      </c>
      <c r="BC33" s="81">
        <v>0</v>
      </c>
      <c r="BD33" s="81"/>
      <c r="BE33" s="81"/>
      <c r="BF33" s="81">
        <v>0</v>
      </c>
    </row>
    <row r="34" spans="1:59" ht="23.25" customHeight="1" x14ac:dyDescent="0.2">
      <c r="A34" s="154"/>
      <c r="B34" s="161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8"/>
      <c r="AZ34" s="4" t="s">
        <v>19</v>
      </c>
      <c r="BA34" s="81">
        <f t="shared" ref="BA34" si="5">BB34+BC34+BD34+BE34</f>
        <v>5000</v>
      </c>
      <c r="BB34" s="81"/>
      <c r="BC34" s="81">
        <v>0</v>
      </c>
      <c r="BD34" s="81"/>
      <c r="BE34" s="81">
        <f>5000</f>
        <v>5000</v>
      </c>
      <c r="BF34" s="81">
        <v>0</v>
      </c>
    </row>
    <row r="35" spans="1:59" ht="11.1" customHeight="1" x14ac:dyDescent="0.2">
      <c r="A35" s="154"/>
      <c r="B35" s="161"/>
      <c r="C35" s="228" t="s">
        <v>44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9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23.25" customHeight="1" x14ac:dyDescent="0.2">
      <c r="A36" s="154"/>
      <c r="B36" s="16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4"/>
      <c r="BA36" s="81"/>
      <c r="BB36" s="81"/>
      <c r="BC36" s="81"/>
      <c r="BD36" s="81"/>
      <c r="BE36" s="81"/>
      <c r="BF36" s="81"/>
    </row>
    <row r="37" spans="1:59" ht="32.25" customHeight="1" x14ac:dyDescent="0.2">
      <c r="A37" s="154"/>
      <c r="B37" s="161"/>
      <c r="C37" s="228" t="s">
        <v>45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12.75" x14ac:dyDescent="0.2">
      <c r="A38" s="5"/>
      <c r="B38" s="228" t="s">
        <v>54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v>37380</v>
      </c>
      <c r="BD38" s="84">
        <v>0</v>
      </c>
      <c r="BE38" s="84">
        <f>34000+135000+50000+86000+125000+159000</f>
        <v>589000</v>
      </c>
      <c r="BF38" s="84">
        <v>0</v>
      </c>
    </row>
    <row r="39" spans="1:59" ht="11.1" customHeight="1" x14ac:dyDescent="0.2">
      <c r="A39" s="6"/>
      <c r="B39" s="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81"/>
      <c r="BB39" s="81"/>
      <c r="BC39" s="81"/>
      <c r="BD39" s="81"/>
      <c r="BE39" s="81"/>
      <c r="BF39" s="81"/>
    </row>
    <row r="40" spans="1:59" ht="22.5" customHeight="1" x14ac:dyDescent="0.2">
      <c r="A40" s="154"/>
      <c r="B40" s="161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4"/>
      <c r="BA40" s="81"/>
      <c r="BB40" s="81"/>
      <c r="BC40" s="81"/>
      <c r="BD40" s="81"/>
      <c r="BE40" s="81"/>
      <c r="BF40" s="81"/>
    </row>
    <row r="41" spans="1:59" ht="25.5" customHeight="1" x14ac:dyDescent="0.2">
      <c r="A41" s="5"/>
      <c r="B41" s="218" t="s">
        <v>46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14.25" customHeight="1" x14ac:dyDescent="0.2">
      <c r="A42" s="6"/>
      <c r="B42" s="7"/>
      <c r="C42" s="218" t="s">
        <v>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21.95" customHeight="1" x14ac:dyDescent="0.2">
      <c r="A43" s="154"/>
      <c r="B43" s="161"/>
      <c r="C43" s="218" t="s">
        <v>48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18" t="s">
        <v>49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12" customHeight="1" x14ac:dyDescent="0.2">
      <c r="A45" s="154"/>
      <c r="B45" s="161"/>
      <c r="C45" s="218" t="s">
        <v>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1.1" customHeight="1" x14ac:dyDescent="0.2">
      <c r="A46" s="154"/>
      <c r="B46" s="161"/>
      <c r="C46" s="218" t="s">
        <v>51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0.5" customHeight="1" x14ac:dyDescent="0.2">
      <c r="A47" s="154"/>
      <c r="B47" s="258" t="s">
        <v>22</v>
      </c>
      <c r="C47" s="228" t="s">
        <v>11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9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42" customHeight="1" x14ac:dyDescent="0.2">
      <c r="A48" s="154"/>
      <c r="B48" s="272" t="s">
        <v>24</v>
      </c>
      <c r="C48" s="218" t="s">
        <v>11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9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10.15" customHeight="1" x14ac:dyDescent="0.2">
      <c r="A49" s="207" t="s">
        <v>57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60" zoomScaleNormal="55" workbookViewId="0">
      <selection activeCell="M20" sqref="M20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79" customWidth="1"/>
  </cols>
  <sheetData>
    <row r="1" spans="1:13" ht="18.75" x14ac:dyDescent="0.3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ht="18.75" x14ac:dyDescent="0.3">
      <c r="A2" s="203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8.75" x14ac:dyDescent="0.3">
      <c r="A3" s="203" t="s">
        <v>215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ht="18.75" x14ac:dyDescent="0.3">
      <c r="A4" s="52"/>
    </row>
    <row r="5" spans="1:13" ht="18.75" x14ac:dyDescent="0.3">
      <c r="A5" s="52"/>
    </row>
    <row r="6" spans="1:13" ht="15.75" customHeight="1" x14ac:dyDescent="0.25">
      <c r="A6" s="273" t="s">
        <v>100</v>
      </c>
      <c r="B6" s="273" t="s">
        <v>101</v>
      </c>
      <c r="C6" s="273" t="s">
        <v>102</v>
      </c>
      <c r="D6" s="273" t="s">
        <v>103</v>
      </c>
      <c r="E6" s="273"/>
      <c r="F6" s="273"/>
      <c r="G6" s="273"/>
      <c r="H6" s="273"/>
      <c r="I6" s="273"/>
      <c r="J6" s="273"/>
      <c r="K6" s="273"/>
      <c r="L6" s="273"/>
    </row>
    <row r="7" spans="1:13" x14ac:dyDescent="0.25">
      <c r="A7" s="273"/>
      <c r="B7" s="273"/>
      <c r="C7" s="273"/>
      <c r="D7" s="273" t="s">
        <v>104</v>
      </c>
      <c r="E7" s="273"/>
      <c r="F7" s="273"/>
      <c r="G7" s="273"/>
      <c r="H7" s="273"/>
      <c r="I7" s="273"/>
      <c r="J7" s="273"/>
      <c r="K7" s="273"/>
      <c r="L7" s="273"/>
    </row>
    <row r="8" spans="1:13" x14ac:dyDescent="0.25">
      <c r="A8" s="273"/>
      <c r="B8" s="273"/>
      <c r="C8" s="273"/>
      <c r="D8" s="273" t="s">
        <v>105</v>
      </c>
      <c r="E8" s="273"/>
      <c r="F8" s="273"/>
      <c r="G8" s="273" t="s">
        <v>4</v>
      </c>
      <c r="H8" s="273"/>
      <c r="I8" s="273"/>
      <c r="J8" s="273"/>
      <c r="K8" s="273"/>
      <c r="L8" s="273"/>
    </row>
    <row r="9" spans="1:13" ht="102" customHeight="1" x14ac:dyDescent="0.25">
      <c r="A9" s="273"/>
      <c r="B9" s="273"/>
      <c r="C9" s="273"/>
      <c r="D9" s="273"/>
      <c r="E9" s="273"/>
      <c r="F9" s="273"/>
      <c r="G9" s="274" t="s">
        <v>106</v>
      </c>
      <c r="H9" s="274"/>
      <c r="I9" s="274"/>
      <c r="J9" s="274" t="s">
        <v>107</v>
      </c>
      <c r="K9" s="274"/>
      <c r="L9" s="274"/>
    </row>
    <row r="10" spans="1:13" ht="118.5" customHeight="1" x14ac:dyDescent="0.25">
      <c r="A10" s="273"/>
      <c r="B10" s="273"/>
      <c r="C10" s="273"/>
      <c r="D10" s="103" t="s">
        <v>216</v>
      </c>
      <c r="E10" s="103" t="s">
        <v>217</v>
      </c>
      <c r="F10" s="103" t="s">
        <v>218</v>
      </c>
      <c r="G10" s="103" t="s">
        <v>216</v>
      </c>
      <c r="H10" s="103" t="s">
        <v>217</v>
      </c>
      <c r="I10" s="103" t="s">
        <v>218</v>
      </c>
      <c r="J10" s="103" t="s">
        <v>216</v>
      </c>
      <c r="K10" s="103" t="s">
        <v>217</v>
      </c>
      <c r="L10" s="103" t="s">
        <v>218</v>
      </c>
      <c r="M10" s="79" t="s">
        <v>148</v>
      </c>
    </row>
    <row r="11" spans="1:13" x14ac:dyDescent="0.25">
      <c r="A11" s="62">
        <v>1</v>
      </c>
      <c r="B11" s="62">
        <v>2</v>
      </c>
      <c r="C11" s="62">
        <v>3</v>
      </c>
      <c r="D11" s="103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</row>
    <row r="12" spans="1:13" ht="36.75" customHeight="1" x14ac:dyDescent="0.25">
      <c r="A12" s="56" t="s">
        <v>108</v>
      </c>
      <c r="B12" s="63">
        <v>1</v>
      </c>
      <c r="C12" s="63" t="s">
        <v>109</v>
      </c>
      <c r="D12" s="85">
        <f>SUM(D14:D21)</f>
        <v>5239376.59</v>
      </c>
      <c r="E12" s="85">
        <f>E14+E15+E16+E17+E18+E19+E20+E21</f>
        <v>3611837</v>
      </c>
      <c r="F12" s="85">
        <f>F14+F15+F16+F17+F18+F19+F20+F21</f>
        <v>3611837</v>
      </c>
      <c r="G12" s="85">
        <f>SUM(G14:G21)</f>
        <v>5239376.59</v>
      </c>
      <c r="H12" s="85">
        <f>E12</f>
        <v>3611837</v>
      </c>
      <c r="I12" s="85">
        <f>F12</f>
        <v>3611837</v>
      </c>
      <c r="J12" s="85">
        <v>0</v>
      </c>
      <c r="K12" s="85">
        <v>0</v>
      </c>
      <c r="L12" s="85">
        <v>0</v>
      </c>
      <c r="M12" s="80"/>
    </row>
    <row r="13" spans="1:13" ht="72" customHeight="1" x14ac:dyDescent="0.25">
      <c r="A13" s="56" t="s">
        <v>110</v>
      </c>
      <c r="B13" s="63">
        <v>1001</v>
      </c>
      <c r="C13" s="63" t="s">
        <v>109</v>
      </c>
      <c r="D13" s="85"/>
      <c r="E13" s="85"/>
      <c r="F13" s="85"/>
      <c r="G13" s="85"/>
      <c r="H13" s="85"/>
      <c r="I13" s="85"/>
      <c r="J13" s="85"/>
      <c r="K13" s="85"/>
      <c r="L13" s="85"/>
      <c r="M13" s="87"/>
    </row>
    <row r="14" spans="1:13" s="31" customFormat="1" ht="23.25" customHeight="1" x14ac:dyDescent="0.25">
      <c r="A14" s="56" t="s">
        <v>139</v>
      </c>
      <c r="B14" s="63"/>
      <c r="C14" s="63"/>
      <c r="D14" s="85">
        <f>'3 с разбивкой утв'!BK88</f>
        <v>98900.58</v>
      </c>
      <c r="E14" s="85">
        <f>34000+44400</f>
        <v>78400</v>
      </c>
      <c r="F14" s="85">
        <f>34000+44400</f>
        <v>78400</v>
      </c>
      <c r="G14" s="85">
        <f t="shared" ref="G14:G21" si="0">D14</f>
        <v>98900.58</v>
      </c>
      <c r="H14" s="85">
        <f t="shared" ref="H14:I21" si="1">E14</f>
        <v>78400</v>
      </c>
      <c r="I14" s="85">
        <f t="shared" si="1"/>
        <v>78400</v>
      </c>
      <c r="J14" s="85">
        <v>0</v>
      </c>
      <c r="K14" s="85">
        <v>0</v>
      </c>
      <c r="L14" s="85">
        <v>0</v>
      </c>
      <c r="M14" s="87"/>
    </row>
    <row r="15" spans="1:13" s="31" customFormat="1" ht="36.75" customHeight="1" x14ac:dyDescent="0.25">
      <c r="A15" s="56" t="s">
        <v>147</v>
      </c>
      <c r="B15" s="63"/>
      <c r="C15" s="63"/>
      <c r="D15" s="85">
        <f>'3 с разбивкой утв'!BK89</f>
        <v>0</v>
      </c>
      <c r="E15" s="85">
        <v>0</v>
      </c>
      <c r="F15" s="85">
        <v>0</v>
      </c>
      <c r="G15" s="85">
        <f t="shared" si="0"/>
        <v>0</v>
      </c>
      <c r="H15" s="85">
        <f t="shared" si="1"/>
        <v>0</v>
      </c>
      <c r="I15" s="85">
        <f t="shared" si="1"/>
        <v>0</v>
      </c>
      <c r="J15" s="85">
        <v>0</v>
      </c>
      <c r="K15" s="85">
        <v>0</v>
      </c>
      <c r="L15" s="85">
        <v>0</v>
      </c>
      <c r="M15" s="87"/>
    </row>
    <row r="16" spans="1:13" s="31" customFormat="1" ht="36.75" customHeight="1" x14ac:dyDescent="0.25">
      <c r="A16" s="56" t="s">
        <v>140</v>
      </c>
      <c r="B16" s="63"/>
      <c r="C16" s="63"/>
      <c r="D16" s="85">
        <f>'3 с разбивкой утв'!BK90</f>
        <v>3018245.91</v>
      </c>
      <c r="E16" s="85">
        <f>135000+2047207</f>
        <v>2182207</v>
      </c>
      <c r="F16" s="85">
        <f>135000+2047207</f>
        <v>2182207</v>
      </c>
      <c r="G16" s="85">
        <f t="shared" si="0"/>
        <v>3018245.91</v>
      </c>
      <c r="H16" s="85">
        <f t="shared" si="1"/>
        <v>2182207</v>
      </c>
      <c r="I16" s="85">
        <f t="shared" si="1"/>
        <v>2182207</v>
      </c>
      <c r="J16" s="85">
        <v>0</v>
      </c>
      <c r="K16" s="85">
        <v>0</v>
      </c>
      <c r="L16" s="85">
        <v>0</v>
      </c>
      <c r="M16" s="87"/>
    </row>
    <row r="17" spans="1:13" s="31" customFormat="1" ht="39.75" customHeight="1" x14ac:dyDescent="0.25">
      <c r="A17" s="56" t="s">
        <v>141</v>
      </c>
      <c r="B17" s="63"/>
      <c r="C17" s="63"/>
      <c r="D17" s="85">
        <f>'3 с разбивкой утв'!BK91</f>
        <v>1083587.8400000001</v>
      </c>
      <c r="E17" s="85">
        <f>125000+302106</f>
        <v>427106</v>
      </c>
      <c r="F17" s="85">
        <f>125000+302106</f>
        <v>427106</v>
      </c>
      <c r="G17" s="85">
        <f t="shared" si="0"/>
        <v>1083587.8400000001</v>
      </c>
      <c r="H17" s="85">
        <f t="shared" si="1"/>
        <v>427106</v>
      </c>
      <c r="I17" s="85">
        <f t="shared" si="1"/>
        <v>427106</v>
      </c>
      <c r="J17" s="85">
        <v>0</v>
      </c>
      <c r="K17" s="85">
        <v>0</v>
      </c>
      <c r="L17" s="85">
        <v>0</v>
      </c>
      <c r="M17" s="87"/>
    </row>
    <row r="18" spans="1:13" s="31" customFormat="1" ht="37.5" customHeight="1" x14ac:dyDescent="0.25">
      <c r="A18" s="56" t="s">
        <v>142</v>
      </c>
      <c r="B18" s="63"/>
      <c r="C18" s="63"/>
      <c r="D18" s="85">
        <f>'3 с разбивкой утв'!BK92</f>
        <v>617185.1</v>
      </c>
      <c r="E18" s="85">
        <f>159000+434944+23684</f>
        <v>617628</v>
      </c>
      <c r="F18" s="85">
        <f>159000+434944+23684</f>
        <v>617628</v>
      </c>
      <c r="G18" s="85">
        <f t="shared" si="0"/>
        <v>617185.1</v>
      </c>
      <c r="H18" s="85">
        <f t="shared" si="1"/>
        <v>617628</v>
      </c>
      <c r="I18" s="85">
        <f t="shared" si="1"/>
        <v>617628</v>
      </c>
      <c r="J18" s="85">
        <v>0</v>
      </c>
      <c r="K18" s="85">
        <v>0</v>
      </c>
      <c r="L18" s="85">
        <v>0</v>
      </c>
      <c r="M18" s="87"/>
    </row>
    <row r="19" spans="1:13" s="31" customFormat="1" ht="24.75" customHeight="1" x14ac:dyDescent="0.25">
      <c r="A19" s="56" t="s">
        <v>143</v>
      </c>
      <c r="B19" s="63"/>
      <c r="C19" s="63"/>
      <c r="D19" s="85">
        <f>'3 с разбивкой утв'!BK93</f>
        <v>14206</v>
      </c>
      <c r="E19" s="85">
        <v>13696</v>
      </c>
      <c r="F19" s="85">
        <v>13696</v>
      </c>
      <c r="G19" s="85">
        <f t="shared" si="0"/>
        <v>14206</v>
      </c>
      <c r="H19" s="85">
        <f t="shared" si="1"/>
        <v>13696</v>
      </c>
      <c r="I19" s="85">
        <f t="shared" si="1"/>
        <v>13696</v>
      </c>
      <c r="J19" s="85">
        <v>0</v>
      </c>
      <c r="K19" s="85">
        <v>0</v>
      </c>
      <c r="L19" s="85">
        <v>0</v>
      </c>
      <c r="M19" s="87"/>
    </row>
    <row r="20" spans="1:13" s="31" customFormat="1" ht="34.5" customHeight="1" x14ac:dyDescent="0.25">
      <c r="A20" s="56" t="s">
        <v>144</v>
      </c>
      <c r="B20" s="63"/>
      <c r="C20" s="63"/>
      <c r="D20" s="85">
        <f>'3 с разбивкой утв'!BK94</f>
        <v>124921.3</v>
      </c>
      <c r="E20" s="85">
        <f>50000</f>
        <v>50000</v>
      </c>
      <c r="F20" s="85">
        <f>50000</f>
        <v>50000</v>
      </c>
      <c r="G20" s="85">
        <f t="shared" si="0"/>
        <v>124921.3</v>
      </c>
      <c r="H20" s="85">
        <f t="shared" si="1"/>
        <v>50000</v>
      </c>
      <c r="I20" s="85">
        <f t="shared" si="1"/>
        <v>50000</v>
      </c>
      <c r="J20" s="85">
        <v>0</v>
      </c>
      <c r="K20" s="85">
        <v>0</v>
      </c>
      <c r="L20" s="85">
        <v>0</v>
      </c>
      <c r="M20" s="87"/>
    </row>
    <row r="21" spans="1:13" ht="57" customHeight="1" x14ac:dyDescent="0.25">
      <c r="A21" s="56" t="s">
        <v>145</v>
      </c>
      <c r="B21" s="56"/>
      <c r="C21" s="56"/>
      <c r="D21" s="76">
        <f>'3 с разбивкой утв'!BK95</f>
        <v>282329.86</v>
      </c>
      <c r="E21" s="76">
        <f>86000+156800</f>
        <v>242800</v>
      </c>
      <c r="F21" s="76">
        <f>86000+156800</f>
        <v>242800</v>
      </c>
      <c r="G21" s="76">
        <f t="shared" si="0"/>
        <v>282329.86</v>
      </c>
      <c r="H21" s="76">
        <f t="shared" si="1"/>
        <v>242800</v>
      </c>
      <c r="I21" s="76">
        <f t="shared" si="1"/>
        <v>242800</v>
      </c>
      <c r="J21" s="76">
        <v>0</v>
      </c>
      <c r="K21" s="76">
        <v>0</v>
      </c>
      <c r="L21" s="76">
        <v>0</v>
      </c>
      <c r="M21" s="87"/>
    </row>
    <row r="22" spans="1:13" ht="33.75" customHeight="1" x14ac:dyDescent="0.25">
      <c r="A22" s="56" t="s">
        <v>111</v>
      </c>
      <c r="B22" s="63">
        <v>2001</v>
      </c>
      <c r="C22" s="56"/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1:13" x14ac:dyDescent="0.25">
      <c r="A23" s="56"/>
      <c r="B23" s="56"/>
      <c r="C23" s="56"/>
      <c r="D23" s="76"/>
      <c r="E23" s="76"/>
      <c r="F23" s="76"/>
      <c r="G23" s="76"/>
      <c r="H23" s="76"/>
      <c r="I23" s="76"/>
      <c r="J23" s="76"/>
      <c r="K23" s="76"/>
      <c r="L23" s="76"/>
    </row>
    <row r="24" spans="1:13" ht="18.75" customHeight="1" x14ac:dyDescent="0.3">
      <c r="A24" s="61"/>
      <c r="D24" s="88">
        <f>'3 с разбивкой утв'!BA58-'4'!D12</f>
        <v>0</v>
      </c>
      <c r="E24" s="90">
        <f>'3 (2)'!BA38-'4'!E12</f>
        <v>0</v>
      </c>
      <c r="F24" s="90">
        <f>'3 (3)'!BA38-'4'!F12</f>
        <v>0</v>
      </c>
    </row>
    <row r="25" spans="1:13" x14ac:dyDescent="0.25">
      <c r="E25" s="89"/>
      <c r="F25" s="89"/>
    </row>
    <row r="26" spans="1:13" x14ac:dyDescent="0.25">
      <c r="E26" s="89"/>
      <c r="F26" s="89"/>
    </row>
    <row r="27" spans="1:13" x14ac:dyDescent="0.25">
      <c r="E27" s="89"/>
      <c r="F27" s="89"/>
    </row>
    <row r="28" spans="1:13" x14ac:dyDescent="0.25">
      <c r="E28" s="89"/>
      <c r="F28" s="89"/>
    </row>
    <row r="29" spans="1:13" x14ac:dyDescent="0.25">
      <c r="E29" s="89"/>
      <c r="F29" s="89"/>
    </row>
    <row r="30" spans="1:13" x14ac:dyDescent="0.25">
      <c r="E30" s="89"/>
      <c r="F30" s="89"/>
    </row>
    <row r="31" spans="1:13" x14ac:dyDescent="0.25">
      <c r="E31" s="89"/>
      <c r="F31" s="89"/>
    </row>
    <row r="32" spans="1:13" x14ac:dyDescent="0.25">
      <c r="E32" s="89"/>
      <c r="F32" s="89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topLeftCell="A7" zoomScale="73" zoomScaleNormal="100" zoomScaleSheetLayoutView="73" workbookViewId="0">
      <selection activeCell="F24" sqref="F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3" t="s">
        <v>112</v>
      </c>
      <c r="B1" s="203"/>
      <c r="C1" s="203"/>
    </row>
    <row r="2" spans="1:4" ht="18.75" x14ac:dyDescent="0.3">
      <c r="A2" s="203" t="s">
        <v>113</v>
      </c>
      <c r="B2" s="203"/>
      <c r="C2" s="203"/>
      <c r="D2" s="9" t="s">
        <v>149</v>
      </c>
    </row>
    <row r="3" spans="1:4" ht="18.75" x14ac:dyDescent="0.3">
      <c r="A3" s="203" t="s">
        <v>219</v>
      </c>
      <c r="B3" s="203"/>
      <c r="C3" s="203"/>
    </row>
    <row r="4" spans="1:4" ht="18.75" x14ac:dyDescent="0.3">
      <c r="A4" s="203" t="s">
        <v>114</v>
      </c>
      <c r="B4" s="203"/>
      <c r="C4" s="203"/>
    </row>
    <row r="5" spans="1:4" ht="18.75" x14ac:dyDescent="0.3">
      <c r="A5" s="61"/>
    </row>
    <row r="6" spans="1:4" ht="15.75" x14ac:dyDescent="0.2">
      <c r="A6" s="273" t="s">
        <v>0</v>
      </c>
      <c r="B6" s="273" t="s">
        <v>1</v>
      </c>
      <c r="C6" s="62" t="s">
        <v>115</v>
      </c>
    </row>
    <row r="7" spans="1:4" ht="50.25" customHeight="1" x14ac:dyDescent="0.2">
      <c r="A7" s="273"/>
      <c r="B7" s="273"/>
      <c r="C7" s="62" t="s">
        <v>116</v>
      </c>
    </row>
    <row r="8" spans="1:4" ht="15.75" x14ac:dyDescent="0.2">
      <c r="A8" s="62">
        <v>1</v>
      </c>
      <c r="B8" s="62">
        <v>2</v>
      </c>
      <c r="C8" s="62">
        <v>3</v>
      </c>
    </row>
    <row r="9" spans="1:4" ht="27" customHeight="1" x14ac:dyDescent="0.2">
      <c r="A9" s="56" t="s">
        <v>22</v>
      </c>
      <c r="B9" s="62">
        <v>10</v>
      </c>
      <c r="C9" s="76">
        <v>0</v>
      </c>
    </row>
    <row r="10" spans="1:4" ht="27" customHeight="1" x14ac:dyDescent="0.2">
      <c r="A10" s="56" t="s">
        <v>24</v>
      </c>
      <c r="B10" s="62">
        <v>20</v>
      </c>
      <c r="C10" s="76">
        <v>0</v>
      </c>
    </row>
    <row r="11" spans="1:4" ht="27" customHeight="1" x14ac:dyDescent="0.2">
      <c r="A11" s="56" t="s">
        <v>117</v>
      </c>
      <c r="B11" s="62">
        <v>30</v>
      </c>
      <c r="C11" s="76">
        <v>0</v>
      </c>
    </row>
    <row r="12" spans="1:4" ht="27" customHeight="1" x14ac:dyDescent="0.2">
      <c r="A12" s="56"/>
      <c r="B12" s="56"/>
      <c r="C12" s="76"/>
    </row>
    <row r="13" spans="1:4" ht="27" customHeight="1" x14ac:dyDescent="0.2">
      <c r="A13" s="56" t="s">
        <v>118</v>
      </c>
      <c r="B13" s="62">
        <v>40</v>
      </c>
      <c r="C13" s="76">
        <v>0</v>
      </c>
    </row>
    <row r="14" spans="1:4" ht="15.75" x14ac:dyDescent="0.2">
      <c r="A14" s="56"/>
      <c r="B14" s="56"/>
      <c r="C14" s="76"/>
    </row>
    <row r="15" spans="1:4" ht="18.75" x14ac:dyDescent="0.3">
      <c r="A15" s="61"/>
    </row>
    <row r="16" spans="1:4" ht="11.25" customHeight="1" x14ac:dyDescent="0.3">
      <c r="A16" s="61"/>
    </row>
    <row r="17" spans="1:3" ht="11.25" customHeight="1" x14ac:dyDescent="0.3">
      <c r="A17" s="64"/>
    </row>
    <row r="18" spans="1:3" ht="18.75" x14ac:dyDescent="0.3">
      <c r="A18" s="203" t="s">
        <v>119</v>
      </c>
      <c r="B18" s="203"/>
      <c r="C18" s="203"/>
    </row>
    <row r="19" spans="1:3" ht="12.75" customHeight="1" x14ac:dyDescent="0.3">
      <c r="A19" s="53"/>
    </row>
    <row r="20" spans="1:3" ht="30.75" customHeight="1" x14ac:dyDescent="0.2">
      <c r="A20" s="273" t="s">
        <v>0</v>
      </c>
      <c r="B20" s="273" t="s">
        <v>1</v>
      </c>
      <c r="C20" s="62" t="s">
        <v>120</v>
      </c>
    </row>
    <row r="21" spans="1:3" ht="15.75" x14ac:dyDescent="0.2">
      <c r="A21" s="273"/>
      <c r="B21" s="273"/>
      <c r="C21" s="62" t="s">
        <v>121</v>
      </c>
    </row>
    <row r="22" spans="1:3" ht="15.75" x14ac:dyDescent="0.2">
      <c r="A22" s="62">
        <v>1</v>
      </c>
      <c r="B22" s="62">
        <v>2</v>
      </c>
      <c r="C22" s="62">
        <v>3</v>
      </c>
    </row>
    <row r="23" spans="1:3" ht="15.75" x14ac:dyDescent="0.2">
      <c r="A23" s="56" t="s">
        <v>122</v>
      </c>
      <c r="B23" s="62">
        <v>10</v>
      </c>
      <c r="C23" s="76">
        <v>0</v>
      </c>
    </row>
    <row r="24" spans="1:3" ht="90" customHeight="1" x14ac:dyDescent="0.2">
      <c r="A24" s="71" t="s">
        <v>123</v>
      </c>
      <c r="B24" s="62">
        <v>20</v>
      </c>
      <c r="C24" s="76">
        <v>0</v>
      </c>
    </row>
    <row r="25" spans="1:3" ht="18.75" x14ac:dyDescent="0.3">
      <c r="A25" s="64"/>
    </row>
    <row r="26" spans="1:3" s="66" customFormat="1" ht="19.5" customHeight="1" x14ac:dyDescent="0.2">
      <c r="A26" s="69" t="s">
        <v>125</v>
      </c>
    </row>
    <row r="27" spans="1:3" s="66" customFormat="1" ht="19.5" customHeight="1" x14ac:dyDescent="0.2">
      <c r="A27" s="68" t="s">
        <v>124</v>
      </c>
    </row>
    <row r="28" spans="1:3" s="66" customFormat="1" ht="15.75" x14ac:dyDescent="0.2">
      <c r="A28" s="67" t="s">
        <v>126</v>
      </c>
      <c r="B28" s="78" t="s">
        <v>135</v>
      </c>
      <c r="C28" s="78" t="s">
        <v>135</v>
      </c>
    </row>
    <row r="29" spans="1:3" s="66" customFormat="1" ht="21" customHeight="1" x14ac:dyDescent="0.2">
      <c r="A29" s="67"/>
      <c r="B29" s="67" t="s">
        <v>127</v>
      </c>
      <c r="C29" s="67" t="s">
        <v>128</v>
      </c>
    </row>
    <row r="30" spans="1:3" s="66" customFormat="1" ht="10.5" customHeight="1" x14ac:dyDescent="0.2">
      <c r="A30" s="67"/>
    </row>
    <row r="31" spans="1:3" ht="15.75" x14ac:dyDescent="0.25">
      <c r="A31" s="65" t="s">
        <v>205</v>
      </c>
      <c r="B31" s="70"/>
      <c r="C31" s="77" t="s">
        <v>206</v>
      </c>
    </row>
    <row r="32" spans="1:3" ht="16.5" customHeight="1" x14ac:dyDescent="0.25">
      <c r="A32" s="65"/>
      <c r="B32" s="67" t="s">
        <v>127</v>
      </c>
      <c r="C32" s="67" t="s">
        <v>128</v>
      </c>
    </row>
    <row r="33" spans="1:3" ht="15.75" x14ac:dyDescent="0.25">
      <c r="A33" s="65"/>
    </row>
    <row r="34" spans="1:3" ht="15.75" x14ac:dyDescent="0.25">
      <c r="A34" s="65" t="s">
        <v>129</v>
      </c>
      <c r="B34" s="70"/>
      <c r="C34" s="77" t="s">
        <v>206</v>
      </c>
    </row>
    <row r="35" spans="1:3" ht="18.75" customHeight="1" x14ac:dyDescent="0.25">
      <c r="A35" s="65" t="s">
        <v>209</v>
      </c>
      <c r="B35" s="67" t="s">
        <v>127</v>
      </c>
      <c r="C35" s="67" t="s">
        <v>128</v>
      </c>
    </row>
    <row r="36" spans="1:3" ht="15.75" x14ac:dyDescent="0.25">
      <c r="A36" s="65"/>
    </row>
    <row r="37" spans="1:3" ht="26.25" customHeight="1" x14ac:dyDescent="0.25">
      <c r="A37" s="65" t="s">
        <v>189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tabSelected="1" view="pageBreakPreview" topLeftCell="A106" zoomScaleNormal="84" zoomScaleSheetLayoutView="100" workbookViewId="0">
      <selection activeCell="A52" sqref="A1:XFD1048576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21" customHeight="1" x14ac:dyDescent="0.2">
      <c r="A2" s="230" t="s">
        <v>213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</row>
    <row r="3" spans="1:63" ht="12.75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"/>
      <c r="BD3" s="1"/>
      <c r="BE3" s="1"/>
      <c r="BF3" s="1"/>
    </row>
    <row r="4" spans="1:63" ht="12.75" customHeight="1" x14ac:dyDescent="0.2">
      <c r="A4" s="237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9"/>
      <c r="AY4" s="246" t="s">
        <v>1</v>
      </c>
      <c r="AZ4" s="249" t="s">
        <v>2</v>
      </c>
      <c r="BA4" s="231" t="s">
        <v>3</v>
      </c>
      <c r="BB4" s="232"/>
      <c r="BC4" s="232"/>
      <c r="BD4" s="232"/>
      <c r="BE4" s="232"/>
      <c r="BF4" s="232"/>
    </row>
    <row r="5" spans="1:63" ht="12.75" customHeight="1" x14ac:dyDescent="0.2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2"/>
      <c r="AY5" s="247"/>
      <c r="AZ5" s="235"/>
      <c r="BA5" s="235" t="s">
        <v>26</v>
      </c>
      <c r="BB5" s="248" t="s">
        <v>4</v>
      </c>
      <c r="BC5" s="248"/>
      <c r="BD5" s="248"/>
      <c r="BE5" s="248"/>
      <c r="BF5" s="248"/>
    </row>
    <row r="6" spans="1:63" ht="61.5" customHeight="1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2"/>
      <c r="AY6" s="247"/>
      <c r="AZ6" s="235"/>
      <c r="BA6" s="235"/>
      <c r="BB6" s="234" t="s">
        <v>5</v>
      </c>
      <c r="BC6" s="234" t="s">
        <v>6</v>
      </c>
      <c r="BD6" s="234" t="s">
        <v>7</v>
      </c>
      <c r="BE6" s="234" t="s">
        <v>8</v>
      </c>
      <c r="BF6" s="234"/>
    </row>
    <row r="7" spans="1:63" ht="30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5"/>
      <c r="AY7" s="248"/>
      <c r="AZ7" s="236"/>
      <c r="BA7" s="236"/>
      <c r="BB7" s="234"/>
      <c r="BC7" s="234"/>
      <c r="BD7" s="234"/>
      <c r="BE7" s="155" t="s">
        <v>9</v>
      </c>
      <c r="BF7" s="136" t="s">
        <v>10</v>
      </c>
      <c r="BG7" s="120">
        <f>BA9+BA118-BA30</f>
        <v>0</v>
      </c>
      <c r="BK7" s="9" t="s">
        <v>136</v>
      </c>
    </row>
    <row r="8" spans="1:63" ht="11.1" customHeight="1" x14ac:dyDescent="0.2">
      <c r="A8" s="231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  <c r="AY8" s="2">
        <v>2</v>
      </c>
      <c r="AZ8" s="72">
        <v>3</v>
      </c>
      <c r="BA8" s="72">
        <v>4</v>
      </c>
      <c r="BB8" s="137">
        <v>5</v>
      </c>
      <c r="BC8" s="137">
        <v>6</v>
      </c>
      <c r="BD8" s="137">
        <v>7</v>
      </c>
      <c r="BE8" s="155">
        <v>8</v>
      </c>
      <c r="BF8" s="136">
        <v>9</v>
      </c>
    </row>
    <row r="9" spans="1:63" ht="23.25" customHeight="1" x14ac:dyDescent="0.2">
      <c r="A9" s="3"/>
      <c r="B9" s="250" t="s">
        <v>27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1"/>
      <c r="AY9" s="11">
        <v>100</v>
      </c>
      <c r="AZ9" s="73" t="s">
        <v>28</v>
      </c>
      <c r="BA9" s="144">
        <f>BA10+BA12+BA18+BA19+BA20+BA25+BA28+BA17</f>
        <v>21564061.199999999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1216319.2</v>
      </c>
      <c r="BF9" s="144">
        <f>BF12+BF25</f>
        <v>0</v>
      </c>
      <c r="BG9" s="104"/>
    </row>
    <row r="10" spans="1:63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3" t="s">
        <v>235</v>
      </c>
      <c r="BA10" s="145">
        <f>BE10</f>
        <v>156319.20000000001</v>
      </c>
      <c r="BB10" s="146" t="s">
        <v>28</v>
      </c>
      <c r="BC10" s="146" t="s">
        <v>28</v>
      </c>
      <c r="BD10" s="146" t="s">
        <v>28</v>
      </c>
      <c r="BE10" s="146">
        <f>162000-5680.8</f>
        <v>156319.20000000001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73"/>
      <c r="BA11" s="145"/>
      <c r="BB11" s="146"/>
      <c r="BC11" s="146"/>
      <c r="BD11" s="146"/>
      <c r="BE11" s="146"/>
      <c r="BF11" s="146"/>
    </row>
    <row r="12" spans="1:63" ht="12.75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73" t="s">
        <v>236</v>
      </c>
      <c r="BA12" s="145">
        <f>BB12+BE12+BF12</f>
        <v>19829880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900000</v>
      </c>
      <c r="BF12" s="146">
        <v>0</v>
      </c>
      <c r="BG12" s="82" t="s">
        <v>36</v>
      </c>
    </row>
    <row r="13" spans="1:63" s="92" customFormat="1" ht="72.75" customHeight="1" x14ac:dyDescent="0.2">
      <c r="A13" s="210" t="s">
        <v>153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09" t="s">
        <v>152</v>
      </c>
    </row>
    <row r="14" spans="1:63" s="92" customFormat="1" ht="66.75" customHeight="1" x14ac:dyDescent="0.2">
      <c r="A14" s="210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09"/>
    </row>
    <row r="15" spans="1:63" s="92" customFormat="1" ht="16.5" customHeight="1" x14ac:dyDescent="0.2">
      <c r="A15" s="252" t="s">
        <v>226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4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09"/>
    </row>
    <row r="16" spans="1:63" s="92" customFormat="1" ht="71.25" customHeight="1" x14ac:dyDescent="0.2">
      <c r="A16" s="210" t="s">
        <v>158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105"/>
      <c r="AZ16" s="106" t="s">
        <v>157</v>
      </c>
      <c r="BA16" s="147"/>
      <c r="BB16" s="147"/>
      <c r="BC16" s="147"/>
      <c r="BD16" s="147"/>
      <c r="BE16" s="147">
        <f>700000+100000+100000</f>
        <v>900000</v>
      </c>
      <c r="BF16" s="147"/>
      <c r="BG16" s="209"/>
    </row>
    <row r="17" spans="1:59" s="130" customFormat="1" ht="30" customHeight="1" x14ac:dyDescent="0.2">
      <c r="A17" s="223" t="s">
        <v>240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5"/>
      <c r="AY17" s="162">
        <v>130</v>
      </c>
      <c r="AZ17" s="73" t="s">
        <v>242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30" customHeight="1" x14ac:dyDescent="0.2">
      <c r="A18" s="5"/>
      <c r="B18" s="218" t="s">
        <v>31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140</v>
      </c>
      <c r="AZ18" s="73" t="s">
        <v>237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12.75" x14ac:dyDescent="0.2">
      <c r="A19" s="5"/>
      <c r="B19" s="218" t="s">
        <v>30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7" customHeight="1" x14ac:dyDescent="0.2">
      <c r="A20" s="5"/>
      <c r="B20" s="218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160</v>
      </c>
      <c r="AZ20" s="73" t="s">
        <v>238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12.75" x14ac:dyDescent="0.2">
      <c r="A21" s="210" t="s">
        <v>176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12.75" x14ac:dyDescent="0.2">
      <c r="A22" s="210" t="s">
        <v>194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12.75" x14ac:dyDescent="0.2">
      <c r="A23" s="210" t="s">
        <v>225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05"/>
      <c r="AZ23" s="106" t="s">
        <v>244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x14ac:dyDescent="0.2">
      <c r="A24" s="210" t="s">
        <v>246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105"/>
      <c r="AZ24" s="106" t="s">
        <v>245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x14ac:dyDescent="0.2">
      <c r="A25" s="5"/>
      <c r="B25" s="218" t="s">
        <v>34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>
        <v>170</v>
      </c>
      <c r="AZ25" s="73" t="s">
        <v>239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12.75" x14ac:dyDescent="0.2">
      <c r="A26" s="210" t="s">
        <v>182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7" customHeight="1" x14ac:dyDescent="0.2">
      <c r="A27" s="210" t="s">
        <v>208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12.75" x14ac:dyDescent="0.2">
      <c r="A28" s="5"/>
      <c r="B28" s="218" t="s">
        <v>35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12.75" x14ac:dyDescent="0.2">
      <c r="A29" s="10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73"/>
      <c r="BA29" s="145"/>
      <c r="BB29" s="146"/>
      <c r="BC29" s="146"/>
      <c r="BD29" s="146"/>
      <c r="BE29" s="146"/>
      <c r="BF29" s="146"/>
    </row>
    <row r="30" spans="1:59" ht="12.75" x14ac:dyDescent="0.2">
      <c r="A30" s="3"/>
      <c r="B30" s="250" t="s">
        <v>39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1"/>
      <c r="AY30" s="11">
        <v>200</v>
      </c>
      <c r="AZ30" s="73" t="s">
        <v>28</v>
      </c>
      <c r="BA30" s="144">
        <f t="shared" ref="BA30:BF30" si="0">BA31+BA43+BA46+BA55+BA57+BA58</f>
        <v>22313007.869999997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1349161.3499999999</v>
      </c>
      <c r="BF30" s="144">
        <f t="shared" si="0"/>
        <v>0</v>
      </c>
      <c r="BG30" s="107"/>
    </row>
    <row r="31" spans="1:59" ht="12.75" x14ac:dyDescent="0.2">
      <c r="A31" s="5"/>
      <c r="B31" s="228" t="s">
        <v>40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9"/>
      <c r="AY31" s="12">
        <v>210</v>
      </c>
      <c r="AZ31" s="73"/>
      <c r="BA31" s="145">
        <f t="shared" ref="BA31:BF31" si="1">BA32+BA39+BA42</f>
        <v>16628593.199999999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583457.06000000006</v>
      </c>
      <c r="BF31" s="149">
        <f t="shared" si="1"/>
        <v>0</v>
      </c>
    </row>
    <row r="32" spans="1:59" ht="12.75" x14ac:dyDescent="0.2">
      <c r="A32" s="5"/>
      <c r="B32" s="228" t="s">
        <v>41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12">
        <v>211</v>
      </c>
      <c r="AZ32" s="73"/>
      <c r="BA32" s="145">
        <f>BA33+BA36</f>
        <v>16470700.199999999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575046.06000000006</v>
      </c>
      <c r="BF32" s="149">
        <f t="shared" si="2"/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73" t="s">
        <v>15</v>
      </c>
      <c r="BA33" s="145">
        <f>BB33+BC33+BD33+BE33</f>
        <v>12716999.209999999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</f>
        <v>442677.35</v>
      </c>
      <c r="BF33" s="146">
        <v>0</v>
      </c>
      <c r="BG33" s="82" t="s">
        <v>163</v>
      </c>
    </row>
    <row r="34" spans="1:59" s="92" customFormat="1" ht="17.25" customHeight="1" x14ac:dyDescent="0.2">
      <c r="A34" s="142"/>
      <c r="B34" s="143"/>
      <c r="C34" s="211" t="s">
        <v>191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x14ac:dyDescent="0.2">
      <c r="A35" s="142"/>
      <c r="B35" s="143"/>
      <c r="C35" s="211" t="s">
        <v>192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x14ac:dyDescent="0.2">
      <c r="A36" s="131"/>
      <c r="B36" s="13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3" t="s">
        <v>16</v>
      </c>
      <c r="BA36" s="145">
        <f>BB36+BC36+BD36+BE36</f>
        <v>3753700.9899999998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</f>
        <v>132368.71000000002</v>
      </c>
      <c r="BF36" s="146">
        <v>0</v>
      </c>
      <c r="BG36" s="82" t="s">
        <v>162</v>
      </c>
    </row>
    <row r="37" spans="1:59" s="92" customFormat="1" ht="12.75" customHeight="1" x14ac:dyDescent="0.2">
      <c r="A37" s="139"/>
      <c r="B37" s="226" t="s">
        <v>191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7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2.75" customHeight="1" x14ac:dyDescent="0.2">
      <c r="A38" s="139"/>
      <c r="B38" s="226" t="s">
        <v>192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7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12.75" x14ac:dyDescent="0.2">
      <c r="A39" s="131"/>
      <c r="B39" s="13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x14ac:dyDescent="0.2">
      <c r="A40" s="139"/>
      <c r="B40" s="140"/>
      <c r="C40" s="211" t="s">
        <v>224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25.5" customHeight="1" x14ac:dyDescent="0.2">
      <c r="A41" s="139"/>
      <c r="B41" s="140"/>
      <c r="C41" s="211" t="s">
        <v>243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12.75" x14ac:dyDescent="0.2">
      <c r="A42" s="131"/>
      <c r="B42" s="13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231</v>
      </c>
    </row>
    <row r="43" spans="1:59" ht="12.75" x14ac:dyDescent="0.2">
      <c r="A43" s="5"/>
      <c r="B43" s="228" t="s">
        <v>42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9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3"/>
      <c r="BA44" s="145"/>
      <c r="BB44" s="146"/>
      <c r="BC44" s="146"/>
      <c r="BD44" s="146"/>
      <c r="BE44" s="146"/>
      <c r="BF44" s="146"/>
    </row>
    <row r="45" spans="1:59" ht="12.75" x14ac:dyDescent="0.2">
      <c r="A45" s="131"/>
      <c r="B45" s="13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26.25" customHeight="1" x14ac:dyDescent="0.2">
      <c r="A46" s="131"/>
      <c r="B46" s="138"/>
      <c r="C46" s="228" t="s">
        <v>43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9"/>
      <c r="AY46" s="12">
        <v>230</v>
      </c>
      <c r="AZ46" s="73"/>
      <c r="BA46" s="145">
        <f t="shared" ref="BA46:BF46" si="4">BA49+BA50+BA54+BA48</f>
        <v>445038.08000000002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 t="shared" si="4"/>
        <v>10511.03</v>
      </c>
      <c r="BF46" s="149">
        <f t="shared" si="4"/>
        <v>0</v>
      </c>
    </row>
    <row r="47" spans="1:59" ht="12.75" x14ac:dyDescent="0.2">
      <c r="A47" s="131"/>
      <c r="B47" s="138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3"/>
      <c r="BA47" s="145"/>
      <c r="BB47" s="146"/>
      <c r="BC47" s="146"/>
      <c r="BD47" s="146"/>
      <c r="BE47" s="146"/>
      <c r="BF47" s="146"/>
    </row>
    <row r="48" spans="1:59" ht="12.75" x14ac:dyDescent="0.2">
      <c r="A48" s="25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7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247</v>
      </c>
    </row>
    <row r="49" spans="1:63" ht="12.75" x14ac:dyDescent="0.2">
      <c r="A49" s="153"/>
      <c r="B49" s="259" t="s">
        <v>202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60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232</v>
      </c>
    </row>
    <row r="50" spans="1:63" ht="12.75" x14ac:dyDescent="0.2">
      <c r="A50" s="6"/>
      <c r="B50" s="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233</v>
      </c>
    </row>
    <row r="51" spans="1:63" s="92" customFormat="1" ht="12.75" x14ac:dyDescent="0.2">
      <c r="A51" s="220" t="s">
        <v>203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2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x14ac:dyDescent="0.2">
      <c r="A52" s="220" t="s">
        <v>188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2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x14ac:dyDescent="0.2">
      <c r="A53" s="220" t="s">
        <v>190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2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9" customHeight="1" x14ac:dyDescent="0.2">
      <c r="A54" s="131"/>
      <c r="B54" s="13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3" t="s">
        <v>19</v>
      </c>
      <c r="BA54" s="145">
        <f t="shared" ref="BA54" si="5">BB54+BC54+BD54+BE54</f>
        <v>10511.03</v>
      </c>
      <c r="BB54" s="146"/>
      <c r="BC54" s="146">
        <v>0</v>
      </c>
      <c r="BD54" s="146">
        <v>0</v>
      </c>
      <c r="BE54" s="146">
        <f>5000+5973.25-462.22</f>
        <v>10511.03</v>
      </c>
      <c r="BF54" s="146">
        <v>0</v>
      </c>
      <c r="BG54" s="261" t="s">
        <v>234</v>
      </c>
      <c r="BH54" s="262"/>
      <c r="BI54" s="262"/>
      <c r="BJ54" s="262"/>
      <c r="BK54" s="262"/>
    </row>
    <row r="55" spans="1:63" ht="12.75" x14ac:dyDescent="0.2">
      <c r="A55" s="131"/>
      <c r="B55" s="138"/>
      <c r="C55" s="228" t="s">
        <v>44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9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12.75" x14ac:dyDescent="0.2">
      <c r="A56" s="131"/>
      <c r="B56" s="13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9"/>
      <c r="AY56" s="8"/>
      <c r="AZ56" s="73"/>
      <c r="BA56" s="145"/>
      <c r="BB56" s="146"/>
      <c r="BC56" s="146"/>
      <c r="BD56" s="146"/>
      <c r="BE56" s="146"/>
      <c r="BF56" s="146"/>
    </row>
    <row r="57" spans="1:63" ht="12.75" x14ac:dyDescent="0.2">
      <c r="A57" s="131"/>
      <c r="B57" s="138"/>
      <c r="C57" s="228" t="s">
        <v>45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9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x14ac:dyDescent="0.2">
      <c r="A58" s="5"/>
      <c r="B58" s="228" t="s">
        <v>54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9"/>
      <c r="AY58" s="12">
        <v>260</v>
      </c>
      <c r="AZ58" s="73" t="s">
        <v>13</v>
      </c>
      <c r="BA58" s="145">
        <f>BB58+BC58+BD58+BE58</f>
        <v>5239376.59</v>
      </c>
      <c r="BB58" s="149">
        <f>SUM(BB59:BB86)</f>
        <v>3127090.3800000004</v>
      </c>
      <c r="BC58" s="149">
        <f>SUM(BC59:BC109)</f>
        <v>1357092.9500000002</v>
      </c>
      <c r="BD58" s="149">
        <v>0</v>
      </c>
      <c r="BE58" s="149">
        <f>SUM(BE59:BE109)</f>
        <v>755193.25999999978</v>
      </c>
      <c r="BF58" s="149">
        <v>0</v>
      </c>
    </row>
    <row r="59" spans="1:63" s="92" customFormat="1" ht="12.75" x14ac:dyDescent="0.2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2"/>
      <c r="AY59" s="263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09" t="s">
        <v>152</v>
      </c>
    </row>
    <row r="60" spans="1:63" s="92" customFormat="1" ht="12.75" x14ac:dyDescent="0.2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64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09"/>
    </row>
    <row r="61" spans="1:63" s="92" customFormat="1" ht="12.75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2"/>
      <c r="AY61" s="264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09"/>
    </row>
    <row r="62" spans="1:63" s="92" customFormat="1" ht="12.75" x14ac:dyDescent="0.2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2"/>
      <c r="AY62" s="264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09"/>
    </row>
    <row r="63" spans="1:63" s="92" customFormat="1" ht="12.75" x14ac:dyDescent="0.2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264"/>
      <c r="AZ63" s="106" t="s">
        <v>168</v>
      </c>
      <c r="BA63" s="147"/>
      <c r="BB63" s="147">
        <f>302106+66601.28-11829.12</f>
        <v>356878.16000000003</v>
      </c>
      <c r="BC63" s="147"/>
      <c r="BD63" s="147"/>
      <c r="BE63" s="147"/>
      <c r="BF63" s="147"/>
      <c r="BG63" s="209"/>
    </row>
    <row r="64" spans="1:63" s="92" customFormat="1" ht="12.75" x14ac:dyDescent="0.2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2"/>
      <c r="AY64" s="264"/>
      <c r="AZ64" s="106" t="s">
        <v>169</v>
      </c>
      <c r="BA64" s="147"/>
      <c r="BB64" s="147">
        <f>434944-37209.98+13500</f>
        <v>411234.02</v>
      </c>
      <c r="BC64" s="147"/>
      <c r="BD64" s="147"/>
      <c r="BE64" s="147"/>
      <c r="BF64" s="147"/>
      <c r="BG64" s="209"/>
    </row>
    <row r="65" spans="1:60" s="92" customFormat="1" ht="12.75" x14ac:dyDescent="0.2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2"/>
      <c r="AY65" s="264"/>
      <c r="AZ65" s="106" t="s">
        <v>170</v>
      </c>
      <c r="BA65" s="147"/>
      <c r="BB65" s="147">
        <f>156800-29391.3</f>
        <v>127408.7</v>
      </c>
      <c r="BC65" s="147"/>
      <c r="BD65" s="147"/>
      <c r="BE65" s="147"/>
      <c r="BF65" s="147"/>
      <c r="BG65" s="209"/>
    </row>
    <row r="66" spans="1:60" s="92" customFormat="1" ht="12.75" x14ac:dyDescent="0.2">
      <c r="A66" s="265" t="s">
        <v>172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7"/>
      <c r="AY66" s="264"/>
      <c r="AZ66" s="106" t="s">
        <v>169</v>
      </c>
      <c r="BA66" s="147"/>
      <c r="BB66" s="147"/>
      <c r="BC66" s="147"/>
      <c r="BD66" s="147"/>
      <c r="BE66" s="147"/>
      <c r="BF66" s="147"/>
      <c r="BG66" s="209"/>
    </row>
    <row r="67" spans="1:60" s="92" customFormat="1" ht="12.75" customHeight="1" x14ac:dyDescent="0.2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70"/>
      <c r="AY67" s="264"/>
      <c r="AZ67" s="106" t="s">
        <v>171</v>
      </c>
      <c r="BA67" s="147"/>
      <c r="BB67" s="147"/>
      <c r="BC67" s="147"/>
      <c r="BD67" s="147"/>
      <c r="BE67" s="147"/>
      <c r="BF67" s="147"/>
      <c r="BG67" s="209"/>
    </row>
    <row r="68" spans="1:60" s="92" customFormat="1" ht="12.75" x14ac:dyDescent="0.2">
      <c r="A68" s="210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2"/>
      <c r="AY68" s="271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09"/>
    </row>
    <row r="69" spans="1:60" s="92" customFormat="1" ht="12.75" x14ac:dyDescent="0.2">
      <c r="A69" s="210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2"/>
      <c r="AY69" s="271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09"/>
      <c r="BH69" s="156">
        <f>BB60+BB61+BB62+BB69+BB70+BB71+BE89+BE90+BE91+BE101+BE102+BE103</f>
        <v>2316786.2000000002</v>
      </c>
    </row>
    <row r="70" spans="1:60" s="92" customFormat="1" ht="12.75" x14ac:dyDescent="0.2">
      <c r="A70" s="2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2"/>
      <c r="AY70" s="271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09"/>
    </row>
    <row r="71" spans="1:60" s="92" customFormat="1" ht="12.75" x14ac:dyDescent="0.2">
      <c r="A71" s="210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2"/>
      <c r="AY71" s="271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09"/>
    </row>
    <row r="72" spans="1:60" s="92" customFormat="1" ht="12.75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71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09"/>
      <c r="BH72" s="92">
        <v>0</v>
      </c>
    </row>
    <row r="73" spans="1:60" s="92" customFormat="1" ht="12.75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71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09"/>
    </row>
    <row r="74" spans="1:60" s="92" customFormat="1" ht="12.75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71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09"/>
    </row>
    <row r="75" spans="1:60" s="92" customFormat="1" ht="12.75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71"/>
      <c r="AZ75" s="106" t="s">
        <v>169</v>
      </c>
      <c r="BA75" s="147"/>
      <c r="BB75" s="147"/>
      <c r="BC75" s="147"/>
      <c r="BD75" s="147"/>
      <c r="BE75" s="147"/>
      <c r="BF75" s="147"/>
      <c r="BG75" s="209"/>
    </row>
    <row r="76" spans="1:60" s="92" customFormat="1" ht="12.75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71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09"/>
    </row>
    <row r="77" spans="1:60" s="92" customFormat="1" ht="12.75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71"/>
      <c r="AZ77" s="106" t="s">
        <v>170</v>
      </c>
      <c r="BA77" s="147"/>
      <c r="BB77" s="147"/>
      <c r="BC77" s="147"/>
      <c r="BD77" s="147"/>
      <c r="BE77" s="147"/>
      <c r="BF77" s="147"/>
      <c r="BG77" s="209"/>
    </row>
    <row r="78" spans="1:60" s="92" customFormat="1" ht="12.75" x14ac:dyDescent="0.2">
      <c r="A78" s="210" t="s">
        <v>195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2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09"/>
    </row>
    <row r="79" spans="1:60" s="92" customFormat="1" ht="12.75" x14ac:dyDescent="0.2">
      <c r="A79" s="210" t="s">
        <v>195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2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09"/>
    </row>
    <row r="80" spans="1:60" s="92" customFormat="1" ht="12.75" x14ac:dyDescent="0.2">
      <c r="A80" s="210" t="s">
        <v>174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2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09"/>
    </row>
    <row r="81" spans="1:63" s="92" customFormat="1" ht="12.75" x14ac:dyDescent="0.2">
      <c r="A81" s="210" t="s">
        <v>204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2"/>
      <c r="AY81" s="105"/>
      <c r="AZ81" s="106" t="s">
        <v>173</v>
      </c>
      <c r="BA81" s="147"/>
      <c r="BB81" s="147"/>
      <c r="BC81" s="147">
        <f>649062.05+52397.66</f>
        <v>701459.71000000008</v>
      </c>
      <c r="BD81" s="147"/>
      <c r="BE81" s="147"/>
      <c r="BF81" s="147"/>
      <c r="BG81" s="209"/>
    </row>
    <row r="82" spans="1:63" s="92" customFormat="1" ht="12.75" x14ac:dyDescent="0.2">
      <c r="A82" s="210" t="s">
        <v>204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2"/>
      <c r="AY82" s="105"/>
      <c r="AZ82" s="106" t="s">
        <v>167</v>
      </c>
      <c r="BA82" s="147"/>
      <c r="BB82" s="147"/>
      <c r="BC82" s="147">
        <v>0</v>
      </c>
      <c r="BD82" s="147"/>
      <c r="BE82" s="147"/>
      <c r="BF82" s="147"/>
      <c r="BG82" s="209"/>
    </row>
    <row r="83" spans="1:63" s="92" customFormat="1" ht="12.75" x14ac:dyDescent="0.2">
      <c r="A83" s="210" t="s">
        <v>204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2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09"/>
    </row>
    <row r="84" spans="1:63" s="92" customFormat="1" ht="14.25" customHeight="1" x14ac:dyDescent="0.2">
      <c r="A84" s="210" t="s">
        <v>225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2"/>
      <c r="AY84" s="105"/>
      <c r="AZ84" s="106" t="s">
        <v>169</v>
      </c>
      <c r="BA84" s="147"/>
      <c r="BB84" s="147"/>
      <c r="BC84" s="147">
        <f>100000-10000</f>
        <v>90000</v>
      </c>
      <c r="BD84" s="147"/>
      <c r="BE84" s="147"/>
      <c r="BF84" s="147"/>
      <c r="BG84" s="209"/>
    </row>
    <row r="85" spans="1:63" s="92" customFormat="1" ht="14.25" customHeight="1" x14ac:dyDescent="0.2">
      <c r="A85" s="210" t="s">
        <v>225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2"/>
      <c r="AY85" s="105"/>
      <c r="AZ85" s="106" t="s">
        <v>181</v>
      </c>
      <c r="BA85" s="147"/>
      <c r="BB85" s="147"/>
      <c r="BC85" s="147">
        <v>10000</v>
      </c>
      <c r="BD85" s="147"/>
      <c r="BE85" s="147"/>
      <c r="BF85" s="147"/>
      <c r="BG85" s="209"/>
    </row>
    <row r="86" spans="1:63" s="92" customFormat="1" ht="14.25" customHeight="1" x14ac:dyDescent="0.2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2"/>
      <c r="AY86" s="105"/>
      <c r="AZ86" s="106" t="s">
        <v>171</v>
      </c>
      <c r="BA86" s="147"/>
      <c r="BB86" s="147"/>
      <c r="BC86" s="147"/>
      <c r="BD86" s="147"/>
      <c r="BE86" s="147"/>
      <c r="BF86" s="147"/>
      <c r="BG86" s="209"/>
    </row>
    <row r="87" spans="1:63" s="92" customFormat="1" ht="14.25" customHeight="1" x14ac:dyDescent="0.2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2"/>
      <c r="AY87" s="105"/>
      <c r="AZ87" s="106" t="s">
        <v>170</v>
      </c>
      <c r="BA87" s="147"/>
      <c r="BB87" s="147"/>
      <c r="BC87" s="147"/>
      <c r="BD87" s="147"/>
      <c r="BE87" s="147"/>
      <c r="BF87" s="147"/>
      <c r="BG87" s="209"/>
      <c r="BH87" s="93" t="s">
        <v>183</v>
      </c>
      <c r="BI87" s="94" t="s">
        <v>184</v>
      </c>
      <c r="BJ87" s="94" t="s">
        <v>185</v>
      </c>
      <c r="BK87" s="94" t="s">
        <v>146</v>
      </c>
    </row>
    <row r="88" spans="1:63" s="92" customFormat="1" ht="14.25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105">
        <v>2001</v>
      </c>
      <c r="AZ88" s="106" t="s">
        <v>164</v>
      </c>
      <c r="BA88" s="147"/>
      <c r="BB88" s="147"/>
      <c r="BC88" s="147"/>
      <c r="BD88" s="147"/>
      <c r="BE88" s="147">
        <f>24000+3380.4-3300+462.22</f>
        <v>24542.620000000003</v>
      </c>
      <c r="BF88" s="147"/>
      <c r="BG88" s="209"/>
      <c r="BH88" s="93">
        <v>221</v>
      </c>
      <c r="BI88" s="95">
        <f>BE88+BE104</f>
        <v>51014.94</v>
      </c>
      <c r="BJ88" s="95">
        <f>BB59+BB68</f>
        <v>47885.64</v>
      </c>
      <c r="BK88" s="95">
        <f>BI88+BJ88</f>
        <v>98900.58</v>
      </c>
    </row>
    <row r="89" spans="1:63" s="92" customFormat="1" ht="14.25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 t="s">
        <v>178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13000+28.46</f>
        <v>13028.46</v>
      </c>
      <c r="BF89" s="147"/>
      <c r="BG89" s="209"/>
      <c r="BH89" s="93">
        <v>222</v>
      </c>
      <c r="BI89" s="95">
        <f>0</f>
        <v>0</v>
      </c>
      <c r="BJ89" s="95">
        <f>BC80</f>
        <v>0</v>
      </c>
      <c r="BK89" s="95">
        <f t="shared" ref="BK89:BK95" si="6">BI89+BJ89</f>
        <v>0</v>
      </c>
    </row>
    <row r="90" spans="1:63" s="92" customFormat="1" ht="14.25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 t="s">
        <v>179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20000+244.24</f>
        <v>20244.240000000002</v>
      </c>
      <c r="BF90" s="147"/>
      <c r="BG90" s="209"/>
      <c r="BH90" s="93">
        <v>223</v>
      </c>
      <c r="BI90" s="95">
        <f>BE89+BE90+BE91+BE101+BE102+BE103</f>
        <v>203498.25</v>
      </c>
      <c r="BJ90" s="95">
        <f>BB60+BB61+BB62+BB69+BB70+BB71+BC81+BC82</f>
        <v>2814747.66</v>
      </c>
      <c r="BK90" s="95">
        <f t="shared" si="6"/>
        <v>3018245.91</v>
      </c>
    </row>
    <row r="91" spans="1:63" s="92" customFormat="1" ht="14.25" customHeight="1" x14ac:dyDescent="0.2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 t="s">
        <v>180</v>
      </c>
      <c r="AY91" s="105">
        <v>2001</v>
      </c>
      <c r="AZ91" s="106" t="s">
        <v>173</v>
      </c>
      <c r="BA91" s="147"/>
      <c r="BB91" s="147"/>
      <c r="BC91" s="147"/>
      <c r="BD91" s="147"/>
      <c r="BE91" s="147">
        <f>2000+0.02</f>
        <v>2000.02</v>
      </c>
      <c r="BF91" s="147"/>
      <c r="BG91" s="209"/>
      <c r="BH91" s="93">
        <v>225</v>
      </c>
      <c r="BI91" s="95">
        <f>BE92+BE97+BE105+BE96</f>
        <v>153568.53</v>
      </c>
      <c r="BJ91" s="95">
        <f>BB63+BB72+BC83</f>
        <v>930019.31</v>
      </c>
      <c r="BK91" s="95">
        <f t="shared" si="6"/>
        <v>1083587.8400000001</v>
      </c>
    </row>
    <row r="92" spans="1:63" s="92" customFormat="1" ht="14.25" customHeight="1" x14ac:dyDescent="0.2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4"/>
      <c r="AY92" s="105">
        <v>2001</v>
      </c>
      <c r="AZ92" s="106" t="s">
        <v>168</v>
      </c>
      <c r="BA92" s="147"/>
      <c r="BB92" s="147"/>
      <c r="BC92" s="147"/>
      <c r="BD92" s="147"/>
      <c r="BE92" s="147">
        <f>45000-13031.84+48810.37</f>
        <v>80778.53</v>
      </c>
      <c r="BF92" s="147"/>
      <c r="BG92" s="209"/>
      <c r="BH92" s="93">
        <v>226</v>
      </c>
      <c r="BI92" s="95">
        <f>BE93+BE98+BE106</f>
        <v>88907.08</v>
      </c>
      <c r="BJ92" s="95">
        <f>BB64+BB66+BB75+BC79+BB73+BC84</f>
        <v>528278.02</v>
      </c>
      <c r="BK92" s="95">
        <f t="shared" si="6"/>
        <v>617185.1</v>
      </c>
    </row>
    <row r="93" spans="1:63" s="92" customFormat="1" ht="14.25" customHeight="1" x14ac:dyDescent="0.2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4"/>
      <c r="AY93" s="105">
        <v>2001</v>
      </c>
      <c r="AZ93" s="106" t="s">
        <v>169</v>
      </c>
      <c r="BA93" s="147"/>
      <c r="BB93" s="147"/>
      <c r="BC93" s="147"/>
      <c r="BD93" s="147"/>
      <c r="BE93" s="147">
        <f>60000-30380.3</f>
        <v>29619.7</v>
      </c>
      <c r="BF93" s="147"/>
      <c r="BG93" s="209"/>
      <c r="BH93" s="93">
        <v>290</v>
      </c>
      <c r="BI93" s="95"/>
      <c r="BJ93" s="95">
        <f>BB67+BB76+BC78</f>
        <v>14206</v>
      </c>
      <c r="BK93" s="95">
        <f t="shared" si="6"/>
        <v>14206</v>
      </c>
    </row>
    <row r="94" spans="1:63" s="92" customFormat="1" ht="14.25" customHeight="1" x14ac:dyDescent="0.2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4"/>
      <c r="AY94" s="105">
        <v>2001</v>
      </c>
      <c r="AZ94" s="106" t="s">
        <v>181</v>
      </c>
      <c r="BA94" s="147"/>
      <c r="BB94" s="147"/>
      <c r="BC94" s="147"/>
      <c r="BD94" s="147"/>
      <c r="BE94" s="147">
        <f>30000+76771.3+8150</f>
        <v>114921.3</v>
      </c>
      <c r="BF94" s="147"/>
      <c r="BG94" s="209"/>
      <c r="BH94" s="93">
        <v>310</v>
      </c>
      <c r="BI94" s="95">
        <f>BE94+BE99+BE107</f>
        <v>114921.3</v>
      </c>
      <c r="BJ94" s="95">
        <f>BC85</f>
        <v>10000</v>
      </c>
      <c r="BK94" s="95">
        <f t="shared" si="6"/>
        <v>124921.3</v>
      </c>
    </row>
    <row r="95" spans="1:63" s="92" customFormat="1" ht="14.25" customHeight="1" x14ac:dyDescent="0.2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4"/>
      <c r="AY95" s="105">
        <v>2001</v>
      </c>
      <c r="AZ95" s="106" t="s">
        <v>170</v>
      </c>
      <c r="BA95" s="147"/>
      <c r="BB95" s="147"/>
      <c r="BC95" s="147"/>
      <c r="BD95" s="147"/>
      <c r="BE95" s="147">
        <f>73000+8991-30059.16-8150+40000</f>
        <v>83781.84</v>
      </c>
      <c r="BF95" s="147"/>
      <c r="BG95" s="209"/>
      <c r="BH95" s="93">
        <v>340</v>
      </c>
      <c r="BI95" s="95">
        <f>BE95+BE100+BE108+BE109</f>
        <v>143283.16</v>
      </c>
      <c r="BJ95" s="95">
        <f>BB77+BB65+BB74</f>
        <v>139046.70000000001</v>
      </c>
      <c r="BK95" s="95">
        <f t="shared" si="6"/>
        <v>282329.86</v>
      </c>
    </row>
    <row r="96" spans="1:63" s="92" customFormat="1" ht="14.25" customHeight="1" x14ac:dyDescent="0.2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4"/>
      <c r="AY96" s="105">
        <v>2006</v>
      </c>
      <c r="AZ96" s="106" t="s">
        <v>168</v>
      </c>
      <c r="BA96" s="147"/>
      <c r="BB96" s="147"/>
      <c r="BC96" s="147"/>
      <c r="BD96" s="147"/>
      <c r="BE96" s="147">
        <f>60000</f>
        <v>60000</v>
      </c>
      <c r="BF96" s="147"/>
      <c r="BG96" s="209"/>
      <c r="BH96" s="93" t="s">
        <v>146</v>
      </c>
      <c r="BI96" s="95">
        <f>SUM(BI88:BI95)</f>
        <v>755193.26</v>
      </c>
      <c r="BJ96" s="95">
        <f>SUM(BJ88:BJ95)</f>
        <v>4484183.330000001</v>
      </c>
      <c r="BK96" s="95">
        <f t="shared" ref="BK96" si="7">SUM(BK88:BK95)</f>
        <v>5239376.59</v>
      </c>
    </row>
    <row r="97" spans="1:64" s="92" customFormat="1" ht="14.25" customHeight="1" x14ac:dyDescent="0.2">
      <c r="A97" s="132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4"/>
      <c r="AY97" s="105">
        <v>2010</v>
      </c>
      <c r="AZ97" s="106" t="s">
        <v>168</v>
      </c>
      <c r="BA97" s="147"/>
      <c r="BB97" s="147"/>
      <c r="BC97" s="147"/>
      <c r="BD97" s="147"/>
      <c r="BE97" s="147"/>
      <c r="BF97" s="147"/>
      <c r="BG97" s="209"/>
      <c r="BH97" s="93"/>
      <c r="BI97" s="97">
        <f>BE58-BI96</f>
        <v>0</v>
      </c>
      <c r="BJ97" s="97">
        <f>(BB58+BC58)-BJ96</f>
        <v>0</v>
      </c>
      <c r="BK97" s="96">
        <f>BA58-BK96</f>
        <v>0</v>
      </c>
    </row>
    <row r="98" spans="1:64" s="92" customFormat="1" ht="14.25" customHeight="1" x14ac:dyDescent="0.2">
      <c r="A98" s="132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4"/>
      <c r="AY98" s="105">
        <v>2010</v>
      </c>
      <c r="AZ98" s="106" t="s">
        <v>169</v>
      </c>
      <c r="BA98" s="147"/>
      <c r="BB98" s="147"/>
      <c r="BC98" s="147"/>
      <c r="BD98" s="147"/>
      <c r="BE98" s="147"/>
      <c r="BF98" s="147"/>
      <c r="BG98" s="209"/>
    </row>
    <row r="99" spans="1:64" s="92" customFormat="1" ht="14.25" customHeight="1" x14ac:dyDescent="0.2">
      <c r="A99" s="132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4"/>
      <c r="AY99" s="105">
        <v>2010</v>
      </c>
      <c r="AZ99" s="106" t="s">
        <v>181</v>
      </c>
      <c r="BA99" s="147"/>
      <c r="BB99" s="147"/>
      <c r="BC99" s="147"/>
      <c r="BD99" s="147"/>
      <c r="BE99" s="147"/>
      <c r="BF99" s="147"/>
      <c r="BG99" s="209"/>
      <c r="BH99" s="93" t="s">
        <v>186</v>
      </c>
      <c r="BI99" s="93" t="s">
        <v>184</v>
      </c>
      <c r="BJ99" s="93" t="s">
        <v>249</v>
      </c>
      <c r="BK99" s="98" t="s">
        <v>248</v>
      </c>
    </row>
    <row r="100" spans="1:64" s="92" customFormat="1" ht="14.25" customHeight="1" x14ac:dyDescent="0.2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4"/>
      <c r="AY100" s="105">
        <v>2010</v>
      </c>
      <c r="AZ100" s="106" t="s">
        <v>170</v>
      </c>
      <c r="BA100" s="147"/>
      <c r="BB100" s="147"/>
      <c r="BC100" s="147"/>
      <c r="BD100" s="147"/>
      <c r="BE100" s="147">
        <f>30000-30000</f>
        <v>0</v>
      </c>
      <c r="BF100" s="147"/>
      <c r="BG100" s="209"/>
      <c r="BH100" s="93" t="s">
        <v>178</v>
      </c>
      <c r="BI100" s="99">
        <f>BE89+BE101</f>
        <v>141156.29999999999</v>
      </c>
      <c r="BJ100" s="99">
        <f>BB60+BB69+BC81</f>
        <v>1819129.1300000004</v>
      </c>
      <c r="BK100" s="99">
        <f>BJ100-BI118</f>
        <v>1819129.1300000004</v>
      </c>
      <c r="BL100" s="141">
        <f>BI100+BJ100</f>
        <v>1960285.4300000004</v>
      </c>
    </row>
    <row r="101" spans="1:64" s="92" customFormat="1" ht="14.25" customHeight="1" x14ac:dyDescent="0.2">
      <c r="A101" s="132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4" t="s">
        <v>178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60000+68127.84</f>
        <v>128127.84</v>
      </c>
      <c r="BF101" s="147"/>
      <c r="BG101" s="209"/>
      <c r="BH101" s="93" t="s">
        <v>179</v>
      </c>
      <c r="BI101" s="99">
        <f>BE90+BE102</f>
        <v>54244.240000000005</v>
      </c>
      <c r="BJ101" s="99">
        <f>BB61+BB70</f>
        <v>942788.99</v>
      </c>
      <c r="BK101" s="99">
        <f>BJ101-BI119</f>
        <v>942788.99</v>
      </c>
      <c r="BL101" s="141">
        <f t="shared" ref="BL101:BL103" si="8">BI101+BJ101</f>
        <v>997033.23</v>
      </c>
    </row>
    <row r="102" spans="1:64" s="92" customFormat="1" ht="14.25" customHeight="1" x14ac:dyDescent="0.2">
      <c r="A102" s="132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4" t="s">
        <v>179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34000</f>
        <v>34000</v>
      </c>
      <c r="BF102" s="147"/>
      <c r="BG102" s="209"/>
      <c r="BH102" s="93" t="s">
        <v>180</v>
      </c>
      <c r="BI102" s="99">
        <f>BE91+BE103</f>
        <v>8097.7099999999991</v>
      </c>
      <c r="BJ102" s="99">
        <f>BB62+BB71+BC82</f>
        <v>52829.54</v>
      </c>
      <c r="BK102" s="99">
        <f>BJ102-BI120</f>
        <v>52829.54</v>
      </c>
      <c r="BL102" s="141">
        <f t="shared" si="8"/>
        <v>60927.25</v>
      </c>
    </row>
    <row r="103" spans="1:64" s="92" customFormat="1" ht="14.25" customHeight="1" x14ac:dyDescent="0.2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4" t="s">
        <v>180</v>
      </c>
      <c r="AY103" s="105">
        <v>2011</v>
      </c>
      <c r="AZ103" s="106" t="s">
        <v>173</v>
      </c>
      <c r="BA103" s="147"/>
      <c r="BB103" s="147"/>
      <c r="BC103" s="147"/>
      <c r="BD103" s="147"/>
      <c r="BE103" s="147">
        <f>6000+97.69</f>
        <v>6097.69</v>
      </c>
      <c r="BF103" s="147"/>
      <c r="BG103" s="209"/>
      <c r="BH103" s="93"/>
      <c r="BI103" s="99">
        <f>SUM(BI100:BI102)</f>
        <v>203498.24999999997</v>
      </c>
      <c r="BJ103" s="99">
        <f>SUM(BJ100:BJ102)</f>
        <v>2814747.66</v>
      </c>
      <c r="BK103" s="99">
        <f>SUM(BK100:BK102)</f>
        <v>2814747.66</v>
      </c>
      <c r="BL103" s="141">
        <f t="shared" si="8"/>
        <v>3018245.91</v>
      </c>
    </row>
    <row r="104" spans="1:64" s="92" customFormat="1" ht="14.25" customHeight="1" x14ac:dyDescent="0.2">
      <c r="A104" s="210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2"/>
      <c r="AY104" s="105">
        <v>2019</v>
      </c>
      <c r="AZ104" s="106" t="s">
        <v>164</v>
      </c>
      <c r="BA104" s="147"/>
      <c r="BB104" s="147"/>
      <c r="BC104" s="147"/>
      <c r="BD104" s="147"/>
      <c r="BE104" s="147">
        <f>10000+16472.32</f>
        <v>26472.32</v>
      </c>
      <c r="BF104" s="147"/>
      <c r="BG104" s="209"/>
      <c r="BH104" s="93"/>
      <c r="BI104" s="213">
        <f>BI103+BJ103</f>
        <v>3018245.91</v>
      </c>
      <c r="BJ104" s="214"/>
      <c r="BK104" s="141">
        <f>BK90-BI104</f>
        <v>0</v>
      </c>
    </row>
    <row r="105" spans="1:64" s="92" customFormat="1" ht="14.25" customHeight="1" x14ac:dyDescent="0.2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2"/>
      <c r="AY105" s="105">
        <v>2019</v>
      </c>
      <c r="AZ105" s="106" t="s">
        <v>168</v>
      </c>
      <c r="BA105" s="147"/>
      <c r="BB105" s="147"/>
      <c r="BC105" s="147"/>
      <c r="BD105" s="147"/>
      <c r="BE105" s="147">
        <f>20000+40-7250</f>
        <v>12790</v>
      </c>
      <c r="BF105" s="147"/>
      <c r="BG105" s="209"/>
    </row>
    <row r="106" spans="1:64" s="92" customFormat="1" ht="14.25" customHeight="1" x14ac:dyDescent="0.2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2"/>
      <c r="AY106" s="105">
        <v>2019</v>
      </c>
      <c r="AZ106" s="106" t="s">
        <v>169</v>
      </c>
      <c r="BA106" s="147"/>
      <c r="BB106" s="147"/>
      <c r="BC106" s="147"/>
      <c r="BD106" s="147"/>
      <c r="BE106" s="147">
        <f>99000+1109.7-40822.32</f>
        <v>59287.38</v>
      </c>
      <c r="BF106" s="147"/>
      <c r="BG106" s="209"/>
    </row>
    <row r="107" spans="1:64" s="92" customFormat="1" ht="14.25" customHeight="1" x14ac:dyDescent="0.2">
      <c r="A107" s="132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4"/>
      <c r="AY107" s="105">
        <f>2019</f>
        <v>2019</v>
      </c>
      <c r="AZ107" s="106" t="s">
        <v>181</v>
      </c>
      <c r="BA107" s="147"/>
      <c r="BB107" s="147"/>
      <c r="BC107" s="147"/>
      <c r="BD107" s="147"/>
      <c r="BE107" s="147">
        <f>20000-20000</f>
        <v>0</v>
      </c>
      <c r="BF107" s="147"/>
      <c r="BG107" s="209"/>
      <c r="BH107" s="100" t="s">
        <v>220</v>
      </c>
      <c r="BI107" s="100"/>
      <c r="BJ107" s="100"/>
    </row>
    <row r="108" spans="1:64" s="92" customFormat="1" ht="14.25" customHeight="1" x14ac:dyDescent="0.2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2"/>
      <c r="AY108" s="105">
        <v>2019</v>
      </c>
      <c r="AZ108" s="106" t="s">
        <v>170</v>
      </c>
      <c r="BA108" s="147"/>
      <c r="BB108" s="147"/>
      <c r="BC108" s="147"/>
      <c r="BD108" s="147"/>
      <c r="BE108" s="147">
        <f>13000+582.12+51600-5680.8</f>
        <v>59501.32</v>
      </c>
      <c r="BF108" s="147"/>
      <c r="BG108" s="209"/>
      <c r="BH108" s="101">
        <v>2001</v>
      </c>
      <c r="BI108" s="102">
        <v>62473.8</v>
      </c>
      <c r="BJ108" s="215">
        <f>BI108+BI109+BI110+BI111+BI112+BI113+BI114</f>
        <v>748946.67</v>
      </c>
    </row>
    <row r="109" spans="1:64" s="92" customFormat="1" ht="14.25" customHeight="1" x14ac:dyDescent="0.2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2"/>
      <c r="AY109" s="105">
        <f>2032</f>
        <v>2032</v>
      </c>
      <c r="AZ109" s="106" t="s">
        <v>170</v>
      </c>
      <c r="BA109" s="147"/>
      <c r="BB109" s="147"/>
      <c r="BC109" s="147"/>
      <c r="BD109" s="147"/>
      <c r="BE109" s="147">
        <v>0</v>
      </c>
      <c r="BF109" s="147"/>
      <c r="BG109" s="209"/>
      <c r="BH109" s="101">
        <v>2010</v>
      </c>
      <c r="BI109" s="102"/>
      <c r="BJ109" s="216"/>
    </row>
    <row r="110" spans="1:64" ht="12.75" x14ac:dyDescent="0.2">
      <c r="A110" s="6"/>
      <c r="B110" s="7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9"/>
      <c r="AY110" s="8"/>
      <c r="AZ110" s="73"/>
      <c r="BA110" s="145"/>
      <c r="BB110" s="146"/>
      <c r="BC110" s="146"/>
      <c r="BD110" s="146"/>
      <c r="BE110" s="146"/>
      <c r="BF110" s="146"/>
      <c r="BH110" s="101">
        <v>2011</v>
      </c>
      <c r="BI110" s="102">
        <v>68225.53</v>
      </c>
      <c r="BJ110" s="216"/>
    </row>
    <row r="111" spans="1:64" ht="12.75" x14ac:dyDescent="0.2">
      <c r="A111" s="131"/>
      <c r="B111" s="13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8"/>
      <c r="AZ111" s="73"/>
      <c r="BA111" s="145"/>
      <c r="BB111" s="146"/>
      <c r="BC111" s="146"/>
      <c r="BD111" s="146"/>
      <c r="BE111" s="146"/>
      <c r="BF111" s="146"/>
      <c r="BH111" s="101">
        <v>2019</v>
      </c>
      <c r="BI111" s="102">
        <v>1731.82</v>
      </c>
      <c r="BJ111" s="216"/>
    </row>
    <row r="112" spans="1:64" ht="12.75" x14ac:dyDescent="0.2">
      <c r="A112" s="5"/>
      <c r="B112" s="218" t="s">
        <v>46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9"/>
      <c r="AY112" s="8">
        <v>300</v>
      </c>
      <c r="AZ112" s="73" t="s">
        <v>28</v>
      </c>
      <c r="BA112" s="145">
        <f t="shared" ref="BA112:BA117" si="9">BB112+BC112+BD112+BF112</f>
        <v>0</v>
      </c>
      <c r="BB112" s="146"/>
      <c r="BC112" s="146"/>
      <c r="BD112" s="146"/>
      <c r="BE112" s="146"/>
      <c r="BF112" s="146"/>
      <c r="BH112" s="101">
        <f>2026</f>
        <v>2026</v>
      </c>
      <c r="BI112" s="102">
        <v>411</v>
      </c>
      <c r="BJ112" s="217"/>
    </row>
    <row r="113" spans="1:62" ht="12.75" x14ac:dyDescent="0.2">
      <c r="A113" s="6"/>
      <c r="B113" s="7"/>
      <c r="C113" s="218" t="s">
        <v>47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9"/>
      <c r="AY113" s="8">
        <v>310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2021</v>
      </c>
      <c r="BI113" s="102"/>
      <c r="BJ113" s="108"/>
    </row>
    <row r="114" spans="1:62" ht="12.75" x14ac:dyDescent="0.2">
      <c r="A114" s="131"/>
      <c r="B114" s="138"/>
      <c r="C114" s="218" t="s">
        <v>48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9"/>
      <c r="AY114" s="8">
        <v>320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01">
        <v>4000</v>
      </c>
      <c r="BI114" s="102">
        <f>616104.52</f>
        <v>616104.52</v>
      </c>
      <c r="BJ114" s="108"/>
    </row>
    <row r="115" spans="1:62" ht="12.75" x14ac:dyDescent="0.2">
      <c r="A115" s="131"/>
      <c r="B115" s="138"/>
      <c r="C115" s="218" t="s">
        <v>49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8">
        <v>400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x14ac:dyDescent="0.2">
      <c r="A116" s="131"/>
      <c r="B116" s="138"/>
      <c r="C116" s="218" t="s">
        <v>50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9"/>
      <c r="AY116" s="8">
        <v>410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30"/>
      <c r="BI116" s="130"/>
      <c r="BJ116" s="130"/>
    </row>
    <row r="117" spans="1:62" ht="12.75" x14ac:dyDescent="0.2">
      <c r="A117" s="131"/>
      <c r="B117" s="138"/>
      <c r="C117" s="218" t="s">
        <v>51</v>
      </c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9"/>
      <c r="AY117" s="8">
        <v>420</v>
      </c>
      <c r="AZ117" s="73"/>
      <c r="BA117" s="145">
        <f t="shared" si="9"/>
        <v>0</v>
      </c>
      <c r="BB117" s="146"/>
      <c r="BC117" s="146"/>
      <c r="BD117" s="146"/>
      <c r="BE117" s="146"/>
      <c r="BF117" s="146"/>
      <c r="BH117" s="127"/>
      <c r="BI117" s="128"/>
      <c r="BJ117" s="130"/>
    </row>
    <row r="118" spans="1:62" ht="12.75" x14ac:dyDescent="0.2">
      <c r="A118" s="131"/>
      <c r="B118" s="258" t="s">
        <v>22</v>
      </c>
      <c r="C118" s="228" t="s">
        <v>11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9"/>
      <c r="AY118" s="12" t="s">
        <v>23</v>
      </c>
      <c r="AZ118" s="73" t="s">
        <v>28</v>
      </c>
      <c r="BA118" s="145">
        <f>BB118+BC118+BD118+BE118</f>
        <v>748946.67</v>
      </c>
      <c r="BB118" s="149">
        <f>488717.38+127387.14</f>
        <v>616104.52</v>
      </c>
      <c r="BC118" s="149">
        <v>0</v>
      </c>
      <c r="BD118" s="149">
        <v>0</v>
      </c>
      <c r="BE118" s="149">
        <f>132842.15</f>
        <v>132842.15</v>
      </c>
      <c r="BF118" s="149">
        <v>0</v>
      </c>
      <c r="BH118" s="127"/>
      <c r="BI118" s="129"/>
      <c r="BJ118" s="130"/>
    </row>
    <row r="119" spans="1:62" ht="12.75" x14ac:dyDescent="0.2">
      <c r="A119" s="131"/>
      <c r="B119" s="205" t="s">
        <v>24</v>
      </c>
      <c r="C119" s="206" t="s">
        <v>11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136" t="s">
        <v>25</v>
      </c>
      <c r="AZ119" s="73" t="s">
        <v>28</v>
      </c>
      <c r="BA119" s="145">
        <f>BB119+BC119+BD119+BF119</f>
        <v>0</v>
      </c>
      <c r="BB119" s="146"/>
      <c r="BC119" s="146"/>
      <c r="BD119" s="146"/>
      <c r="BE119" s="146"/>
      <c r="BF119" s="146"/>
      <c r="BH119" s="127"/>
      <c r="BI119" s="129"/>
    </row>
    <row r="120" spans="1:62" ht="12.75" x14ac:dyDescent="0.2">
      <c r="A120" s="112"/>
      <c r="B120" s="119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x14ac:dyDescent="0.2">
      <c r="A121" s="112"/>
      <c r="B121" s="11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6"/>
      <c r="AZ121" s="117"/>
      <c r="BA121" s="118"/>
      <c r="BB121" s="114"/>
      <c r="BC121" s="114"/>
      <c r="BD121" s="114"/>
      <c r="BE121" s="114"/>
      <c r="BF121" s="114"/>
      <c r="BH121" s="127"/>
      <c r="BI121" s="129"/>
    </row>
    <row r="122" spans="1:62" ht="12.75" x14ac:dyDescent="0.2">
      <c r="A122" s="207" t="s">
        <v>57</v>
      </c>
      <c r="B122" s="207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BA122" s="109">
        <f t="shared" ref="BA122:BF122" si="10">BA30-BA9-BA118</f>
        <v>-1.9790604710578918E-9</v>
      </c>
      <c r="BB122" s="109">
        <f t="shared" si="10"/>
        <v>0</v>
      </c>
      <c r="BC122" s="109">
        <f t="shared" si="10"/>
        <v>2.3283064365386963E-10</v>
      </c>
      <c r="BD122" s="109">
        <f t="shared" si="10"/>
        <v>0</v>
      </c>
      <c r="BE122" s="109">
        <f t="shared" si="10"/>
        <v>0</v>
      </c>
      <c r="BF122" s="109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2.75" x14ac:dyDescent="0.2">
      <c r="BB125" s="111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BG13:BG16"/>
    <mergeCell ref="B119:AX119"/>
    <mergeCell ref="A122:AX122"/>
    <mergeCell ref="C40:AX40"/>
    <mergeCell ref="C41:AX41"/>
    <mergeCell ref="C113:AX113"/>
    <mergeCell ref="C114:AX114"/>
    <mergeCell ref="C115:AX115"/>
    <mergeCell ref="C116:AX116"/>
    <mergeCell ref="C117:AX117"/>
    <mergeCell ref="B118:AX118"/>
    <mergeCell ref="A106:AX106"/>
    <mergeCell ref="A108:AX108"/>
    <mergeCell ref="A84:AX84"/>
    <mergeCell ref="A86:AX86"/>
    <mergeCell ref="A87:AX87"/>
    <mergeCell ref="A104:AX104"/>
    <mergeCell ref="B58:AX58"/>
    <mergeCell ref="A59:AX59"/>
    <mergeCell ref="A64:AX64"/>
    <mergeCell ref="A65:AX65"/>
    <mergeCell ref="A53:AX53"/>
    <mergeCell ref="C54:AX54"/>
    <mergeCell ref="BJ108:BJ112"/>
    <mergeCell ref="A109:AX109"/>
    <mergeCell ref="C110:AX110"/>
    <mergeCell ref="C111:AX111"/>
    <mergeCell ref="B112:AX112"/>
    <mergeCell ref="BI104:BJ104"/>
    <mergeCell ref="A105:AX105"/>
    <mergeCell ref="A66:AX67"/>
    <mergeCell ref="A78:AX78"/>
    <mergeCell ref="A79:AX79"/>
    <mergeCell ref="A80:AX80"/>
    <mergeCell ref="A68:AX68"/>
    <mergeCell ref="A69:AX69"/>
    <mergeCell ref="A70:AX70"/>
    <mergeCell ref="A71:AX71"/>
    <mergeCell ref="AY59:AY67"/>
    <mergeCell ref="BG59:BG109"/>
    <mergeCell ref="A60:AX60"/>
    <mergeCell ref="A61:AX61"/>
    <mergeCell ref="A62:AX62"/>
    <mergeCell ref="A63:AX63"/>
    <mergeCell ref="AY68:AY77"/>
    <mergeCell ref="A83:AX83"/>
    <mergeCell ref="A82:AX82"/>
    <mergeCell ref="A81:AX81"/>
    <mergeCell ref="C57:AX57"/>
    <mergeCell ref="A52:AX52"/>
    <mergeCell ref="C39:AX39"/>
    <mergeCell ref="C42:AX42"/>
    <mergeCell ref="B43:AX43"/>
    <mergeCell ref="C44:AX44"/>
    <mergeCell ref="C45:AX45"/>
    <mergeCell ref="C46:AX46"/>
    <mergeCell ref="C47:AX47"/>
    <mergeCell ref="A48:AX48"/>
    <mergeCell ref="B49:AX49"/>
    <mergeCell ref="C50:AX50"/>
    <mergeCell ref="A51:AX51"/>
    <mergeCell ref="C56:AX56"/>
    <mergeCell ref="C55:AX55"/>
    <mergeCell ref="A16:AX16"/>
    <mergeCell ref="A17:AX17"/>
    <mergeCell ref="B18:AX18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19:AX19"/>
    <mergeCell ref="B20:AX20"/>
    <mergeCell ref="A21:AX21"/>
    <mergeCell ref="A24:AX24"/>
    <mergeCell ref="A23:AX23"/>
    <mergeCell ref="A85:AX85"/>
    <mergeCell ref="BG54:BK54"/>
    <mergeCell ref="B37:AX37"/>
    <mergeCell ref="B38:AX38"/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22:AX22"/>
    <mergeCell ref="A14:AX14"/>
    <mergeCell ref="A15:AX15"/>
  </mergeCells>
  <pageMargins left="0.25" right="0.25" top="0.75" bottom="0.75" header="0.3" footer="0.3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2018-05-15T12:04:25Z</cp:lastPrinted>
  <dcterms:created xsi:type="dcterms:W3CDTF">2016-04-19T05:14:21Z</dcterms:created>
  <dcterms:modified xsi:type="dcterms:W3CDTF">2018-05-15T12:04:34Z</dcterms:modified>
</cp:coreProperties>
</file>