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5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</sheets>
  <definedNames>
    <definedName name="IS_DOCUMENT" localSheetId="2">'3'!$A$112</definedName>
    <definedName name="IS_DOCUMENT" localSheetId="3">'3 (2)'!$A$46</definedName>
    <definedName name="IS_DOCUMENT" localSheetId="4">'3 (3)'!$A$47</definedName>
    <definedName name="_xlnm.Print_Area" localSheetId="1">'2'!$A$1:$C$26</definedName>
    <definedName name="_xlnm.Print_Area" localSheetId="2">'3'!$A$1:$BF$138</definedName>
    <definedName name="_xlnm.Print_Area" localSheetId="3">'3 (2)'!$A$1:$BF$47</definedName>
    <definedName name="_xlnm.Print_Area" localSheetId="4">'3 (3)'!$A$1:$BF$47</definedName>
    <definedName name="_xlnm.Print_Area" localSheetId="5">'4'!$A$1:$L$29</definedName>
    <definedName name="_xlnm.Print_Area" localSheetId="6">'5'!$A$1:$C$37</definedName>
    <definedName name="_xlnm.Print_Area" localSheetId="0">тит!$A$1:$DY$38</definedName>
  </definedNames>
  <calcPr calcId="144525"/>
</workbook>
</file>

<file path=xl/calcChain.xml><?xml version="1.0" encoding="utf-8"?>
<calcChain xmlns="http://schemas.openxmlformats.org/spreadsheetml/2006/main">
  <c r="BB28" i="2" l="1"/>
  <c r="BB55" i="2"/>
  <c r="BB59" i="2"/>
  <c r="BB86" i="2" l="1"/>
  <c r="BB85" i="2"/>
  <c r="BB84" i="2"/>
  <c r="BE102" i="2" l="1"/>
  <c r="BE31" i="2"/>
  <c r="BE27" i="2"/>
  <c r="BC50" i="2"/>
  <c r="BC51" i="2"/>
  <c r="BB32" i="2" l="1"/>
  <c r="BB12" i="2"/>
  <c r="BC18" i="2"/>
  <c r="BE109" i="2" l="1"/>
  <c r="BE14" i="2"/>
  <c r="BB71" i="2" l="1"/>
  <c r="BB70" i="2"/>
  <c r="BB69" i="2"/>
  <c r="BE112" i="2" l="1"/>
  <c r="BE108" i="2"/>
  <c r="BE107" i="2"/>
  <c r="BE106" i="2"/>
  <c r="BE104" i="2"/>
  <c r="BE103" i="2"/>
  <c r="BE101" i="2"/>
  <c r="BB79" i="2"/>
  <c r="BB78" i="2"/>
  <c r="BB76" i="2"/>
  <c r="BB74" i="2"/>
  <c r="BJ110" i="2" s="1"/>
  <c r="BB73" i="2"/>
  <c r="BJ109" i="2" s="1"/>
  <c r="G15" i="5" l="1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I14" i="5"/>
  <c r="H14" i="5"/>
  <c r="F18" i="5"/>
  <c r="E18" i="5"/>
  <c r="E12" i="5"/>
  <c r="E16" i="5"/>
  <c r="E17" i="5"/>
  <c r="F17" i="5"/>
  <c r="F26" i="5"/>
  <c r="F25" i="5"/>
  <c r="F22" i="5"/>
  <c r="F16" i="5"/>
  <c r="F14" i="5"/>
  <c r="BB22" i="8"/>
  <c r="BA22" i="8"/>
  <c r="BB37" i="7"/>
  <c r="BB22" i="7"/>
  <c r="H12" i="5" l="1"/>
  <c r="I12" i="5"/>
  <c r="C12" i="4"/>
  <c r="C10" i="4"/>
  <c r="C9" i="4"/>
  <c r="C24" i="4"/>
  <c r="C21" i="4"/>
  <c r="C20" i="4"/>
  <c r="C19" i="4"/>
  <c r="C16" i="4"/>
  <c r="C13" i="4"/>
  <c r="C6" i="4"/>
  <c r="BE121" i="2" l="1"/>
  <c r="BE120" i="2"/>
  <c r="BE119" i="2"/>
  <c r="BB31" i="2" l="1"/>
  <c r="E26" i="5" l="1"/>
  <c r="E25" i="5"/>
  <c r="E22" i="5"/>
  <c r="E14" i="5"/>
  <c r="BA47" i="7"/>
  <c r="BA46" i="7"/>
  <c r="BA45" i="7"/>
  <c r="BA44" i="7"/>
  <c r="BA43" i="7"/>
  <c r="BA42" i="7"/>
  <c r="BA41" i="7"/>
  <c r="BA40" i="7"/>
  <c r="BE37" i="7"/>
  <c r="BC37" i="7"/>
  <c r="BA37" i="7"/>
  <c r="BA36" i="7"/>
  <c r="BA33" i="7"/>
  <c r="BB32" i="7"/>
  <c r="BA32" i="7" s="1"/>
  <c r="BA29" i="7" s="1"/>
  <c r="BA31" i="7"/>
  <c r="BF29" i="7"/>
  <c r="BE29" i="7"/>
  <c r="BD29" i="7"/>
  <c r="BC29" i="7"/>
  <c r="BA28" i="7"/>
  <c r="BF26" i="7"/>
  <c r="BE26" i="7"/>
  <c r="BD26" i="7"/>
  <c r="BC26" i="7"/>
  <c r="BB26" i="7"/>
  <c r="BA26" i="7"/>
  <c r="BA25" i="7"/>
  <c r="BC24" i="7"/>
  <c r="BA24" i="7"/>
  <c r="BA23" i="7"/>
  <c r="BA21" i="7" s="1"/>
  <c r="BA20" i="7" s="1"/>
  <c r="BA22" i="7"/>
  <c r="BF21" i="7"/>
  <c r="BE21" i="7"/>
  <c r="BE20" i="7" s="1"/>
  <c r="BE19" i="7" s="1"/>
  <c r="BE48" i="7" s="1"/>
  <c r="BD21" i="7"/>
  <c r="BD20" i="7" s="1"/>
  <c r="BD19" i="7" s="1"/>
  <c r="BD48" i="7" s="1"/>
  <c r="BC21" i="7"/>
  <c r="BB21" i="7"/>
  <c r="BB20" i="7" s="1"/>
  <c r="BF20" i="7"/>
  <c r="BF19" i="7" s="1"/>
  <c r="BF48" i="7" s="1"/>
  <c r="BC20" i="7"/>
  <c r="BC19" i="7" s="1"/>
  <c r="BC48" i="7" s="1"/>
  <c r="BA17" i="7"/>
  <c r="BA16" i="7"/>
  <c r="BA15" i="7"/>
  <c r="BA14" i="7"/>
  <c r="BA13" i="7"/>
  <c r="BA12" i="7"/>
  <c r="BA11" i="7"/>
  <c r="BA10" i="7"/>
  <c r="BA9" i="7" s="1"/>
  <c r="BF9" i="7"/>
  <c r="BE9" i="7"/>
  <c r="BD9" i="7"/>
  <c r="BC9" i="7"/>
  <c r="BB9" i="7"/>
  <c r="BB20" i="8"/>
  <c r="BB19" i="8" s="1"/>
  <c r="BB32" i="8"/>
  <c r="BB21" i="8"/>
  <c r="BC21" i="8"/>
  <c r="BD21" i="8"/>
  <c r="BE21" i="8"/>
  <c r="BF21" i="8"/>
  <c r="BA21" i="8"/>
  <c r="BA25" i="8"/>
  <c r="BE37" i="8"/>
  <c r="BC34" i="2"/>
  <c r="BD34" i="2"/>
  <c r="BE34" i="2"/>
  <c r="BF34" i="2"/>
  <c r="BB34" i="2"/>
  <c r="BB27" i="2"/>
  <c r="BA19" i="7" l="1"/>
  <c r="BG9" i="7"/>
  <c r="BA48" i="7"/>
  <c r="BB29" i="7"/>
  <c r="BB19" i="7" s="1"/>
  <c r="BB48" i="7" s="1"/>
  <c r="BC37" i="8" l="1"/>
  <c r="BC24" i="8"/>
  <c r="BC9" i="2" l="1"/>
  <c r="BA19" i="2"/>
  <c r="BE49" i="2" l="1"/>
  <c r="BE99" i="2" l="1"/>
  <c r="BJ107" i="2" l="1"/>
  <c r="BJ116" i="2"/>
  <c r="BJ112" i="2" l="1"/>
  <c r="BE60" i="2" l="1"/>
  <c r="BC49" i="2" l="1"/>
  <c r="C14" i="4" l="1"/>
  <c r="C7" i="4"/>
  <c r="BJ108" i="2" l="1"/>
  <c r="BJ113" i="2" l="1"/>
  <c r="BB63" i="2" l="1"/>
  <c r="BB41" i="2"/>
  <c r="BI106" i="2" l="1"/>
  <c r="BI113" i="2"/>
  <c r="BE10" i="2"/>
  <c r="BI118" i="2"/>
  <c r="BJ118" i="2"/>
  <c r="BJ117" i="2"/>
  <c r="BI117" i="2"/>
  <c r="BJ115" i="2"/>
  <c r="BI115" i="2"/>
  <c r="BJ114" i="2"/>
  <c r="BI114" i="2"/>
  <c r="BI112" i="2"/>
  <c r="BI111" i="2"/>
  <c r="BJ106" i="2"/>
  <c r="F12" i="5"/>
  <c r="J12" i="5"/>
  <c r="K12" i="5"/>
  <c r="L12" i="5"/>
  <c r="E30" i="5"/>
  <c r="BK118" i="2" l="1"/>
  <c r="D19" i="5" s="1"/>
  <c r="G19" i="5" s="1"/>
  <c r="BI110" i="2"/>
  <c r="BK115" i="2"/>
  <c r="D24" i="5" s="1"/>
  <c r="G24" i="5" s="1"/>
  <c r="BK114" i="2"/>
  <c r="D23" i="5" s="1"/>
  <c r="G23" i="5" s="1"/>
  <c r="BK117" i="2"/>
  <c r="D27" i="5" s="1"/>
  <c r="G27" i="5" s="1"/>
  <c r="BA47" i="8"/>
  <c r="BA46" i="8"/>
  <c r="BA45" i="8"/>
  <c r="BA44" i="8"/>
  <c r="BA43" i="8"/>
  <c r="BA42" i="8"/>
  <c r="BA41" i="8"/>
  <c r="BA40" i="8"/>
  <c r="BA37" i="8"/>
  <c r="F30" i="5" s="1"/>
  <c r="BA36" i="8"/>
  <c r="BA33" i="8"/>
  <c r="BA32" i="8"/>
  <c r="BA31" i="8"/>
  <c r="BF29" i="8"/>
  <c r="BE29" i="8"/>
  <c r="BD29" i="8"/>
  <c r="BC29" i="8"/>
  <c r="BB29" i="8"/>
  <c r="BA28" i="8"/>
  <c r="BF26" i="8"/>
  <c r="BE26" i="8"/>
  <c r="BD26" i="8"/>
  <c r="BC26" i="8"/>
  <c r="BB26" i="8"/>
  <c r="BA26" i="8"/>
  <c r="BA24" i="8"/>
  <c r="BA20" i="8" s="1"/>
  <c r="BA23" i="8"/>
  <c r="BF20" i="8"/>
  <c r="BF19" i="8" s="1"/>
  <c r="BF48" i="8" s="1"/>
  <c r="BE20" i="8"/>
  <c r="BD20" i="8"/>
  <c r="BD19" i="8" s="1"/>
  <c r="BD48" i="8" s="1"/>
  <c r="BC20" i="8"/>
  <c r="BC19" i="8" s="1"/>
  <c r="BA17" i="8"/>
  <c r="BA16" i="8"/>
  <c r="BA15" i="8"/>
  <c r="BA14" i="8"/>
  <c r="BA13" i="8"/>
  <c r="BA12" i="8"/>
  <c r="BA11" i="8"/>
  <c r="BA10" i="8"/>
  <c r="BF9" i="8"/>
  <c r="BE9" i="8"/>
  <c r="BD9" i="8"/>
  <c r="BB9" i="8"/>
  <c r="BA29" i="8" l="1"/>
  <c r="BE19" i="8"/>
  <c r="BE48" i="8" s="1"/>
  <c r="BB48" i="8"/>
  <c r="BA9" i="8"/>
  <c r="BC9" i="8"/>
  <c r="BC48" i="8" s="1"/>
  <c r="BA138" i="2"/>
  <c r="BA137" i="2"/>
  <c r="BA136" i="2"/>
  <c r="BA135" i="2"/>
  <c r="BA134" i="2"/>
  <c r="BA133" i="2"/>
  <c r="BA132" i="2"/>
  <c r="BH131" i="2"/>
  <c r="BA131" i="2"/>
  <c r="BJ127" i="2"/>
  <c r="BJ138" i="2"/>
  <c r="BI137" i="2"/>
  <c r="BJ137" i="2"/>
  <c r="BJ136" i="2"/>
  <c r="BI109" i="2"/>
  <c r="BB67" i="2"/>
  <c r="BA66" i="2"/>
  <c r="BB60" i="2"/>
  <c r="BE59" i="2"/>
  <c r="BE56" i="2" s="1"/>
  <c r="BB56" i="2"/>
  <c r="BB53" i="2"/>
  <c r="BA53" i="2" s="1"/>
  <c r="BA49" i="2"/>
  <c r="BF47" i="2"/>
  <c r="BD47" i="2"/>
  <c r="BC47" i="2"/>
  <c r="BA46" i="2"/>
  <c r="BA44" i="2" s="1"/>
  <c r="BF44" i="2"/>
  <c r="BE44" i="2"/>
  <c r="BD44" i="2"/>
  <c r="BC44" i="2"/>
  <c r="BB44" i="2"/>
  <c r="BA41" i="2"/>
  <c r="BA34" i="2"/>
  <c r="B32" i="2"/>
  <c r="BB26" i="2"/>
  <c r="BF26" i="2"/>
  <c r="BF25" i="2" s="1"/>
  <c r="BD26" i="2"/>
  <c r="BD25" i="2" s="1"/>
  <c r="BC26" i="2"/>
  <c r="BC25" i="2" s="1"/>
  <c r="BA23" i="2"/>
  <c r="BA18" i="2"/>
  <c r="BA17" i="2"/>
  <c r="BA16" i="2"/>
  <c r="BA15" i="2"/>
  <c r="BE11" i="2"/>
  <c r="BB11" i="2"/>
  <c r="BB9" i="2" s="1"/>
  <c r="BA10" i="2"/>
  <c r="BF9" i="2"/>
  <c r="BD9" i="2"/>
  <c r="BA19" i="8" l="1"/>
  <c r="BG9" i="8" s="1"/>
  <c r="BI116" i="2"/>
  <c r="BK116" i="2" s="1"/>
  <c r="D25" i="5" s="1"/>
  <c r="G25" i="5" s="1"/>
  <c r="BI108" i="2"/>
  <c r="BJ119" i="2"/>
  <c r="BI136" i="2"/>
  <c r="BL118" i="2" s="1"/>
  <c r="BA27" i="2"/>
  <c r="BL119" i="2"/>
  <c r="BC67" i="2"/>
  <c r="BC24" i="2" s="1"/>
  <c r="BC141" i="2" s="1"/>
  <c r="BE47" i="2"/>
  <c r="BA60" i="2"/>
  <c r="BF24" i="2"/>
  <c r="BF141" i="2" s="1"/>
  <c r="BA31" i="2"/>
  <c r="BK107" i="2"/>
  <c r="D26" i="5" s="1"/>
  <c r="G26" i="5" s="1"/>
  <c r="BK109" i="2"/>
  <c r="D17" i="5" s="1"/>
  <c r="G17" i="5" s="1"/>
  <c r="BE9" i="2"/>
  <c r="BE67" i="2"/>
  <c r="BK111" i="2"/>
  <c r="D20" i="5" s="1"/>
  <c r="G20" i="5" s="1"/>
  <c r="BK113" i="2"/>
  <c r="D22" i="5" s="1"/>
  <c r="G22" i="5" s="1"/>
  <c r="BJ139" i="2"/>
  <c r="BK112" i="2"/>
  <c r="D21" i="5" s="1"/>
  <c r="G21" i="5" s="1"/>
  <c r="BA56" i="2"/>
  <c r="BA20" i="2"/>
  <c r="BD24" i="2"/>
  <c r="BD141" i="2" s="1"/>
  <c r="BK106" i="2"/>
  <c r="D14" i="5" s="1"/>
  <c r="G14" i="5" s="1"/>
  <c r="BK110" i="2"/>
  <c r="D18" i="5" s="1"/>
  <c r="G18" i="5" s="1"/>
  <c r="BI138" i="2"/>
  <c r="BL120" i="2" s="1"/>
  <c r="BA11" i="2"/>
  <c r="BE26" i="2"/>
  <c r="BE25" i="2" s="1"/>
  <c r="BB47" i="2"/>
  <c r="BB25" i="2"/>
  <c r="BA48" i="8" l="1"/>
  <c r="BA9" i="2"/>
  <c r="BA67" i="2"/>
  <c r="BI119" i="2"/>
  <c r="BI120" i="2" s="1"/>
  <c r="BJ120" i="2"/>
  <c r="BA26" i="2"/>
  <c r="BA25" i="2" s="1"/>
  <c r="BE24" i="2"/>
  <c r="BE141" i="2" s="1"/>
  <c r="BB24" i="2"/>
  <c r="BB141" i="2" s="1"/>
  <c r="BA47" i="2"/>
  <c r="BK108" i="2"/>
  <c r="BI139" i="2"/>
  <c r="BL121" i="2" s="1"/>
  <c r="BA24" i="2" l="1"/>
  <c r="BK119" i="2"/>
  <c r="BK120" i="2" s="1"/>
  <c r="D16" i="5"/>
  <c r="BI140" i="2"/>
  <c r="D12" i="5" l="1"/>
  <c r="D30" i="5" s="1"/>
  <c r="G16" i="5"/>
  <c r="BA141" i="2"/>
  <c r="BG7" i="2"/>
  <c r="G12" i="5" l="1"/>
</calcChain>
</file>

<file path=xl/comments1.xml><?xml version="1.0" encoding="utf-8"?>
<comments xmlns="http://schemas.openxmlformats.org/spreadsheetml/2006/main">
  <authors>
    <author>глав.бух.</author>
  </authors>
  <commentList>
    <comment ref="F30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<sst xmlns="http://schemas.openxmlformats.org/spreadsheetml/2006/main" count="623" uniqueCount="294">
  <si>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</si>
  <si>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</si>
  <si>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</si>
  <si>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</si>
  <si>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</si>
  <si>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</si>
  <si>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</si>
  <si>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</si>
  <si>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</si>
  <si>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</si>
  <si>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</si>
  <si>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</si>
  <si>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</si>
  <si>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</si>
  <si>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</si>
  <si>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</si>
  <si>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</si>
  <si>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</si>
  <si>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</si>
  <si>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</si>
  <si>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</si>
  <si>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</si>
  <si>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</si>
  <si>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</si>
  <si>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</si>
  <si>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</si>
  <si>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</si>
  <si>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</si>
  <si>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</si>
  <si>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</si>
  <si>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</si>
  <si>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</si>
  <si>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</si>
  <si>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</si>
  <si>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</si>
  <si>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</si>
  <si>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</si>
  <si>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</si>
  <si>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</si>
  <si>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</si>
  <si>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</si>
  <si>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</si>
  <si>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</si>
  <si>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</si>
  <si>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</si>
  <si>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</si>
  <si>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</si>
  <si>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</si>
  <si>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</si>
  <si>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</si>
  <si>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</si>
  <si>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</si>
  <si>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</si>
  <si>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</si>
  <si>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</si>
  <si>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</si>
  <si>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</si>
  <si>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</si>
  <si>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</si>
  <si>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</si>
  <si>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</si>
  <si>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</si>
  <si>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</si>
  <si>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</si>
  <si>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</si>
  <si>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</si>
  <si>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</si>
  <si>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</si>
  <si>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</si>
  <si>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</si>
  <si>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</si>
  <si>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</si>
  <si>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</si>
  <si>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</si>
  <si>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</si>
  <si>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</si>
  <si>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</si>
  <si>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</si>
  <si>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</si>
  <si>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</si>
  <si>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</si>
  <si>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</si>
  <si>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</si>
  <si>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</si>
  <si>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</si>
  <si>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</si>
  <si>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</si>
  <si>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</si>
  <si>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</si>
  <si>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</si>
  <si>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</si>
  <si>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</si>
  <si>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</si>
  <si>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</si>
  <si>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</si>
  <si>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</si>
  <si>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</si>
  <si>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</si>
  <si>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</si>
  <si>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</si>
  <si>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</si>
  <si>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</si>
  <si>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</si>
  <si>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</si>
  <si>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</si>
  <si>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</si>
  <si>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</si>
  <si>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</si>
  <si>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</si>
  <si>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</si>
  <si>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</si>
  <si>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</si>
  <si>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</si>
  <si>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</si>
  <si>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</si>
  <si>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</si>
  <si>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</si>
  <si>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</si>
  <si>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</si>
  <si>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</si>
  <si>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</si>
  <si>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</si>
  <si>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</si>
  <si>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</si>
  <si>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</si>
  <si>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</si>
  <si>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</si>
  <si>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</si>
  <si>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</si>
  <si>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</si>
  <si>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</si>
  <si>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</si>
  <si>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</si>
  <si>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</si>
  <si>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</si>
  <si>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</si>
  <si>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</si>
  <si>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</si>
  <si>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</si>
  <si>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</si>
  <si>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</si>
  <si>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</si>
  <si>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</si>
  <si>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</si>
  <si>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</si>
  <si>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</si>
  <si>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</si>
  <si>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</si>
  <si>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</si>
  <si>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</si>
  <si>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</si>
  <si>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</si>
  <si>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косгу 213 налоги с ЗП</t>
  </si>
  <si>
    <t>221</t>
  </si>
  <si>
    <t>223 т/э</t>
  </si>
  <si>
    <t>223 э/э</t>
  </si>
  <si>
    <t>223 вода</t>
  </si>
  <si>
    <t>225</t>
  </si>
  <si>
    <t>226</t>
  </si>
  <si>
    <t>223</t>
  </si>
  <si>
    <t>т/э</t>
  </si>
  <si>
    <t>э/э</t>
  </si>
  <si>
    <t>вода</t>
  </si>
  <si>
    <t>310</t>
  </si>
  <si>
    <t>внебюджет</t>
  </si>
  <si>
    <t>4+5</t>
  </si>
  <si>
    <t>ТЭР 223</t>
  </si>
  <si>
    <t>"_____" ________________ 20___ г.</t>
  </si>
  <si>
    <t>к4199</t>
  </si>
  <si>
    <t>оф.сор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</si>
  <si>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</si>
  <si>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</si>
  <si>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</si>
  <si>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</si>
  <si>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</si>
  <si>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</si>
  <si>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</si>
  <si>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</si>
  <si>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</si>
  <si>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t>косгу 211</t>
  </si>
  <si>
    <t>косгу 213</t>
  </si>
  <si>
    <t>121</t>
  </si>
  <si>
    <t>131</t>
  </si>
  <si>
    <t>143</t>
  </si>
  <si>
    <t>189</t>
  </si>
  <si>
    <t>МЗ 4000, 4291, код субсидии 2001</t>
  </si>
  <si>
    <t>135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</si>
  <si>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</si>
  <si>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+ иные</t>
  </si>
  <si>
    <t>296</t>
  </si>
  <si>
    <t>ЦЕЛЕВЫЕ</t>
  </si>
  <si>
    <t>2010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</si>
  <si>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2021 г.</t>
    </r>
  </si>
  <si>
    <t>266</t>
  </si>
  <si>
    <t>косгу 266</t>
  </si>
  <si>
    <t>346</t>
  </si>
  <si>
    <t>349</t>
  </si>
  <si>
    <t>152</t>
  </si>
  <si>
    <t>косгу 212</t>
  </si>
  <si>
    <t>доходы от оказания платных улуг (работ)</t>
  </si>
  <si>
    <t>доходы по условным арендным платежам</t>
  </si>
  <si>
    <t>страховые возмещения</t>
  </si>
  <si>
    <t>безвозмездные денежные поступления от наднациональных организаций, правительств иностранных государств, международных финансовых организаций</t>
  </si>
  <si>
    <t>иные доходы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</si>
  <si>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</si>
  <si>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уреждений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</si>
  <si>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</si>
  <si>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</si>
  <si>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Увеличение стоимости прочих оборотных запасов (материалов) КОСГУ 346</t>
  </si>
  <si>
    <t>поступления текущего характера бюджетным и автономным учреждениям от сектора государственного управления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</si>
  <si>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</si>
  <si>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</si>
  <si>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уплата прочих налогов, сборов</t>
  </si>
  <si>
    <t>уплата иных платежей</t>
  </si>
  <si>
    <t>прочая закупка товаров, работ и услуг</t>
  </si>
  <si>
    <t>Увеличение стоимости мягкого инвентаря КОСГУ 345</t>
  </si>
  <si>
    <t>Увеличение стоимости горюче-смазочных материалов КОСГУ 343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</si>
  <si>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КОСГУ 353</t>
  </si>
  <si>
    <t>Увеличение стоимости строительных материалов КОСГУ 344</t>
  </si>
  <si>
    <t>квр 244 по косгу</t>
  </si>
  <si>
    <t>353</t>
  </si>
  <si>
    <t>344</t>
  </si>
  <si>
    <t>343</t>
  </si>
  <si>
    <t>227</t>
  </si>
  <si>
    <t>345</t>
  </si>
  <si>
    <t>косгу 211+266  зп</t>
  </si>
  <si>
    <t xml:space="preserve">Увеличение стоимости прочих материальных запасов однократного применения КОСГУ 349 </t>
  </si>
  <si>
    <t>мз КОСГУ 211</t>
  </si>
  <si>
    <t>К4199 выездн.соревнования - КОСГУ 226</t>
  </si>
  <si>
    <t>к.4199</t>
  </si>
  <si>
    <t>к.4000</t>
  </si>
  <si>
    <t>к4000 транспортный</t>
  </si>
  <si>
    <t>к4000 госпошлины+экология</t>
  </si>
  <si>
    <t>к4199 транспортный</t>
  </si>
  <si>
    <t>К4000  ВЫЕЗДНЫЕ СОРЕВН - КОСГУ 226</t>
  </si>
  <si>
    <t>Страхование КОСГУ 227</t>
  </si>
  <si>
    <t>МЗ КОСГУ 266 бл</t>
  </si>
  <si>
    <t>223ТКО</t>
  </si>
  <si>
    <t>ТКО</t>
  </si>
  <si>
    <t>форма 730= (стр.190)</t>
  </si>
  <si>
    <t>формы 768= (стр.311)</t>
  </si>
  <si>
    <t>формы 768=( стр.311-стр.321)</t>
  </si>
  <si>
    <t>формы 768= (стр.312)</t>
  </si>
  <si>
    <t>формы 768=(стр.312- стр.322)</t>
  </si>
  <si>
    <t xml:space="preserve"> форма 730 =(стр.340)</t>
  </si>
  <si>
    <t xml:space="preserve"> форма 730=( стр.200)</t>
  </si>
  <si>
    <t>форма 730=( стр.201)</t>
  </si>
  <si>
    <t xml:space="preserve"> форма 730 =(стр.250 - стр.470)</t>
  </si>
  <si>
    <t xml:space="preserve"> форма 730= (стр.260+стр.270+стр.280)</t>
  </si>
  <si>
    <t>форма 730=( стр.550)</t>
  </si>
  <si>
    <t>форма 730=(стр.410+ стр.420)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</si>
  <si>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</si>
  <si>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>налог на прибыль - резерная сумма - в конце года убираем?!</t>
  </si>
  <si>
    <t>косгу 293</t>
  </si>
  <si>
    <t>по требованию -пени тэку, самараэнерго ИФО 2001</t>
  </si>
  <si>
    <t>2019 - аренда</t>
  </si>
  <si>
    <t>4000, 4291, 2001</t>
  </si>
  <si>
    <t>ИФО 2001 - налог на прибыль /  2006, 2009, 2010, 2026</t>
  </si>
  <si>
    <t>КОМАНДРОВКИ сотрудники</t>
  </si>
  <si>
    <t>косгу 297 - возм.судебн.расходов - госпошлина по иску</t>
  </si>
  <si>
    <t>косгу 293 - % по исп.докам</t>
  </si>
  <si>
    <t>с одним дес.знаком после запятой!!!</t>
  </si>
  <si>
    <t>косгу 293, 292</t>
  </si>
  <si>
    <t>косгу 292</t>
  </si>
  <si>
    <t>штраф пфр</t>
  </si>
  <si>
    <t>штраф пфр по исп.листу</t>
  </si>
  <si>
    <t>возврат фсс изл упл бл</t>
  </si>
  <si>
    <t>косгу 297</t>
  </si>
  <si>
    <t>мусоросборник</t>
  </si>
  <si>
    <t>162</t>
  </si>
  <si>
    <t>поступления капитального характера бюджетным и автономным учреждениям от сектора государственного управления</t>
  </si>
  <si>
    <t>иные субсидии КВФО 5 мусоросборник</t>
  </si>
  <si>
    <t>План финансово-хозяйственной деятельности на 2020 год 
и плановый период 2021-2022 г.г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</si>
  <si>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2020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</si>
  <si>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2022 г.</t>
    </r>
  </si>
  <si>
    <t>на   ____.______.2020.</t>
  </si>
  <si>
    <t>на 2020 г. очередной финансовый год</t>
  </si>
  <si>
    <t>на 2021 г. 1-ый год планового периода</t>
  </si>
  <si>
    <t>на 2022 г. 2-ой год планового периода</t>
  </si>
  <si>
    <t>на  _____.____.2020 г.</t>
  </si>
  <si>
    <t>ПОСОБИЛЕ ДО 3л</t>
  </si>
  <si>
    <t>ПОСОБИЕ ДО 1,5л</t>
  </si>
  <si>
    <t>К4000  ВЫЕЗДНЫЕ СОРЕВН - СОТРУДНИКОВ - КОСГУ 212</t>
  </si>
  <si>
    <t xml:space="preserve">К4000  ВЫЕЗДНЫЕ СОРЕВН - СОТРУДНИКОВ  КОСГУ 226
</t>
  </si>
  <si>
    <t xml:space="preserve">К2001 КОМАНДИРОВКИ СОТРУДНИКОВ КОСГУ 212 -  </t>
  </si>
  <si>
    <t xml:space="preserve">К2001 КОМАНДИРОВКИ СОТРУДНИКОВ  КОСГУ 226 - 
</t>
  </si>
  <si>
    <t xml:space="preserve">косгу 291 </t>
  </si>
  <si>
    <t>ОСТАТКИ НА 01.01.20</t>
  </si>
  <si>
    <t>Руководитель управления физической культуры и спорта администрации городского округа Тольятти</t>
  </si>
  <si>
    <t>А.Е. Герунов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</si>
  <si>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4 471 113,98руб.
в том числе:
- балансовая стоимость особо ценного движимого имущества: 3 587 107,47руб.
</t>
  </si>
  <si>
    <t>на 01.01.2020г.</t>
  </si>
  <si>
    <t>Директор
МБУДО СДЮСШОР № 4 "Шахматы"</t>
  </si>
  <si>
    <t>Г.Р. Салахова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</si>
</sst>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"/>
    <numFmt numFmtId="167" formatCode="_-* #,##0.0\ _₽_-;\-* #,##0.0\ _₽_-;_-* &quot;-&quot;?\ _₽_-;_-@_-"/>
  </numFmts>
  <fonts count="31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/>
    <xf numFmtId="0" fontId="1" fillId="4" borderId="3" xfId="0" applyFont="1" applyFill="1" applyBorder="1" applyAlignment="1" applyProtection="1">
      <alignment horizontal="center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4" fillId="2" borderId="15" xfId="0" applyNumberFormat="1" applyFont="1" applyFill="1" applyBorder="1" applyAlignment="1" applyProtection="1">
      <alignment horizontal="center" vertical="center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Border="1" applyAlignment="1" applyProtection="1">
      <alignment horizontal="center" vertical="center"/>
    </xf>
    <xf numFmtId="164" fontId="25" fillId="4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Fill="1" applyBorder="1" applyAlignment="1" applyProtection="1">
      <alignment horizontal="center" vertical="center"/>
    </xf>
    <xf numFmtId="164" fontId="25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4" fontId="4" fillId="0" borderId="0" xfId="0" applyNumberFormat="1" applyFont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43" fontId="4" fillId="4" borderId="0" xfId="0" applyNumberFormat="1" applyFont="1" applyFill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9" fillId="0" borderId="0" xfId="0" applyFont="1"/>
    <xf numFmtId="4" fontId="9" fillId="0" borderId="0" xfId="0" applyNumberFormat="1" applyFont="1" applyBorder="1" applyAlignment="1">
      <alignment vertical="top" wrapText="1"/>
    </xf>
    <xf numFmtId="0" fontId="9" fillId="0" borderId="0" xfId="0" applyFont="1" applyBorder="1"/>
    <xf numFmtId="4" fontId="9" fillId="0" borderId="0" xfId="0" applyNumberFormat="1" applyFont="1" applyFill="1" applyBorder="1" applyAlignment="1">
      <alignment vertical="top" wrapText="1"/>
    </xf>
    <xf numFmtId="167" fontId="9" fillId="0" borderId="15" xfId="0" applyNumberFormat="1" applyFont="1" applyBorder="1" applyAlignment="1">
      <alignment vertical="top" wrapText="1"/>
    </xf>
    <xf numFmtId="167" fontId="14" fillId="0" borderId="15" xfId="0" applyNumberFormat="1" applyFont="1" applyBorder="1" applyAlignment="1">
      <alignment vertical="top" wrapText="1"/>
    </xf>
    <xf numFmtId="167" fontId="28" fillId="0" borderId="15" xfId="0" applyNumberFormat="1" applyFont="1" applyBorder="1" applyAlignment="1">
      <alignment vertical="top" wrapText="1"/>
    </xf>
    <xf numFmtId="167" fontId="14" fillId="0" borderId="15" xfId="0" applyNumberFormat="1" applyFont="1" applyFill="1" applyBorder="1" applyAlignment="1">
      <alignment vertical="top" wrapText="1"/>
    </xf>
    <xf numFmtId="0" fontId="30" fillId="0" borderId="0" xfId="0" applyFont="1"/>
    <xf numFmtId="0" fontId="11" fillId="0" borderId="15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 vertical="top" wrapText="1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top" wrapText="1"/>
    </xf>
    <xf numFmtId="0" fontId="1" fillId="4" borderId="3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3" borderId="4" xfId="0" applyFont="1" applyFill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164" fontId="21" fillId="5" borderId="10" xfId="0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1"/>
  <sheetViews>
    <sheetView view="pageBreakPreview" zoomScale="68" zoomScaleNormal="100" zoomScaleSheetLayoutView="68" workbookViewId="0">
      <selection activeCell="DZ33" sqref="DZ33"/>
    </sheetView>
  </sheetViews>
  <sheetFormatPr defaultRowHeight="12.75" x14ac:dyDescent="0.2"/>
  <cols>
    <col min="1" max="1" width="0.85546875" style="30" customWidth="1"/>
    <col min="2" max="15" width="1.140625" style="30" customWidth="1"/>
    <col min="16" max="16" width="4" style="30" customWidth="1"/>
    <col min="17" max="34" width="1.140625" style="30" customWidth="1"/>
    <col min="35" max="35" width="2.7109375" style="30" customWidth="1"/>
    <col min="36" max="40" width="1.140625" style="30" customWidth="1"/>
    <col min="41" max="77" width="0.85546875" style="30" customWidth="1"/>
    <col min="78" max="78" width="2.7109375" style="30" customWidth="1"/>
    <col min="79" max="86" width="0.85546875" style="30" customWidth="1"/>
    <col min="87" max="87" width="3.5703125" style="30" customWidth="1"/>
    <col min="88" max="108" width="0.85546875" style="30" customWidth="1"/>
    <col min="109" max="109" width="0.140625" style="30" customWidth="1"/>
    <col min="110" max="110" width="0.85546875" style="30" hidden="1" customWidth="1"/>
    <col min="111" max="114" width="0.85546875" style="30" customWidth="1"/>
    <col min="115" max="115" width="1.5703125" style="30" customWidth="1"/>
    <col min="116" max="116" width="1.7109375" style="30" customWidth="1"/>
    <col min="117" max="127" width="0.85546875" style="30" customWidth="1"/>
    <col min="128" max="128" width="0.42578125" style="30" customWidth="1"/>
    <col min="129" max="129" width="0.85546875" style="30" hidden="1" customWidth="1"/>
    <col min="130" max="130" width="74.140625" style="30" customWidth="1"/>
    <col min="131" max="165" width="0.85546875" style="30" customWidth="1"/>
    <col min="166" max="256" width="9.140625" style="30"/>
    <col min="257" max="257" width="0.85546875" style="30" customWidth="1"/>
    <col min="258" max="296" width="1.140625" style="30" customWidth="1"/>
    <col min="297" max="421" width="0.85546875" style="30" customWidth="1"/>
    <col min="422" max="512" width="9.140625" style="30"/>
    <col min="513" max="513" width="0.85546875" style="30" customWidth="1"/>
    <col min="514" max="552" width="1.140625" style="30" customWidth="1"/>
    <col min="553" max="677" width="0.85546875" style="30" customWidth="1"/>
    <col min="678" max="768" width="9.140625" style="30"/>
    <col min="769" max="769" width="0.85546875" style="30" customWidth="1"/>
    <col min="770" max="808" width="1.140625" style="30" customWidth="1"/>
    <col min="809" max="933" width="0.85546875" style="30" customWidth="1"/>
    <col min="934" max="1024" width="9.140625" style="30"/>
    <col min="1025" max="1025" width="0.85546875" style="30" customWidth="1"/>
    <col min="1026" max="1064" width="1.140625" style="30" customWidth="1"/>
    <col min="1065" max="1189" width="0.85546875" style="30" customWidth="1"/>
    <col min="1190" max="1280" width="9.140625" style="30"/>
    <col min="1281" max="1281" width="0.85546875" style="30" customWidth="1"/>
    <col min="1282" max="1320" width="1.140625" style="30" customWidth="1"/>
    <col min="1321" max="1445" width="0.85546875" style="30" customWidth="1"/>
    <col min="1446" max="1536" width="9.140625" style="30"/>
    <col min="1537" max="1537" width="0.85546875" style="30" customWidth="1"/>
    <col min="1538" max="1576" width="1.140625" style="30" customWidth="1"/>
    <col min="1577" max="1701" width="0.85546875" style="30" customWidth="1"/>
    <col min="1702" max="1792" width="9.140625" style="30"/>
    <col min="1793" max="1793" width="0.85546875" style="30" customWidth="1"/>
    <col min="1794" max="1832" width="1.140625" style="30" customWidth="1"/>
    <col min="1833" max="1957" width="0.85546875" style="30" customWidth="1"/>
    <col min="1958" max="2048" width="9.140625" style="30"/>
    <col min="2049" max="2049" width="0.85546875" style="30" customWidth="1"/>
    <col min="2050" max="2088" width="1.140625" style="30" customWidth="1"/>
    <col min="2089" max="2213" width="0.85546875" style="30" customWidth="1"/>
    <col min="2214" max="2304" width="9.140625" style="30"/>
    <col min="2305" max="2305" width="0.85546875" style="30" customWidth="1"/>
    <col min="2306" max="2344" width="1.140625" style="30" customWidth="1"/>
    <col min="2345" max="2469" width="0.85546875" style="30" customWidth="1"/>
    <col min="2470" max="2560" width="9.140625" style="30"/>
    <col min="2561" max="2561" width="0.85546875" style="30" customWidth="1"/>
    <col min="2562" max="2600" width="1.140625" style="30" customWidth="1"/>
    <col min="2601" max="2725" width="0.85546875" style="30" customWidth="1"/>
    <col min="2726" max="2816" width="9.140625" style="30"/>
    <col min="2817" max="2817" width="0.85546875" style="30" customWidth="1"/>
    <col min="2818" max="2856" width="1.140625" style="30" customWidth="1"/>
    <col min="2857" max="2981" width="0.85546875" style="30" customWidth="1"/>
    <col min="2982" max="3072" width="9.140625" style="30"/>
    <col min="3073" max="3073" width="0.85546875" style="30" customWidth="1"/>
    <col min="3074" max="3112" width="1.140625" style="30" customWidth="1"/>
    <col min="3113" max="3237" width="0.85546875" style="30" customWidth="1"/>
    <col min="3238" max="3328" width="9.140625" style="30"/>
    <col min="3329" max="3329" width="0.85546875" style="30" customWidth="1"/>
    <col min="3330" max="3368" width="1.140625" style="30" customWidth="1"/>
    <col min="3369" max="3493" width="0.85546875" style="30" customWidth="1"/>
    <col min="3494" max="3584" width="9.140625" style="30"/>
    <col min="3585" max="3585" width="0.85546875" style="30" customWidth="1"/>
    <col min="3586" max="3624" width="1.140625" style="30" customWidth="1"/>
    <col min="3625" max="3749" width="0.85546875" style="30" customWidth="1"/>
    <col min="3750" max="3840" width="9.140625" style="30"/>
    <col min="3841" max="3841" width="0.85546875" style="30" customWidth="1"/>
    <col min="3842" max="3880" width="1.140625" style="30" customWidth="1"/>
    <col min="3881" max="4005" width="0.85546875" style="30" customWidth="1"/>
    <col min="4006" max="4096" width="9.140625" style="30"/>
    <col min="4097" max="4097" width="0.85546875" style="30" customWidth="1"/>
    <col min="4098" max="4136" width="1.140625" style="30" customWidth="1"/>
    <col min="4137" max="4261" width="0.85546875" style="30" customWidth="1"/>
    <col min="4262" max="4352" width="9.140625" style="30"/>
    <col min="4353" max="4353" width="0.85546875" style="30" customWidth="1"/>
    <col min="4354" max="4392" width="1.140625" style="30" customWidth="1"/>
    <col min="4393" max="4517" width="0.85546875" style="30" customWidth="1"/>
    <col min="4518" max="4608" width="9.140625" style="30"/>
    <col min="4609" max="4609" width="0.85546875" style="30" customWidth="1"/>
    <col min="4610" max="4648" width="1.140625" style="30" customWidth="1"/>
    <col min="4649" max="4773" width="0.85546875" style="30" customWidth="1"/>
    <col min="4774" max="4864" width="9.140625" style="30"/>
    <col min="4865" max="4865" width="0.85546875" style="30" customWidth="1"/>
    <col min="4866" max="4904" width="1.140625" style="30" customWidth="1"/>
    <col min="4905" max="5029" width="0.85546875" style="30" customWidth="1"/>
    <col min="5030" max="5120" width="9.140625" style="30"/>
    <col min="5121" max="5121" width="0.85546875" style="30" customWidth="1"/>
    <col min="5122" max="5160" width="1.140625" style="30" customWidth="1"/>
    <col min="5161" max="5285" width="0.85546875" style="30" customWidth="1"/>
    <col min="5286" max="5376" width="9.140625" style="30"/>
    <col min="5377" max="5377" width="0.85546875" style="30" customWidth="1"/>
    <col min="5378" max="5416" width="1.140625" style="30" customWidth="1"/>
    <col min="5417" max="5541" width="0.85546875" style="30" customWidth="1"/>
    <col min="5542" max="5632" width="9.140625" style="30"/>
    <col min="5633" max="5633" width="0.85546875" style="30" customWidth="1"/>
    <col min="5634" max="5672" width="1.140625" style="30" customWidth="1"/>
    <col min="5673" max="5797" width="0.85546875" style="30" customWidth="1"/>
    <col min="5798" max="5888" width="9.140625" style="30"/>
    <col min="5889" max="5889" width="0.85546875" style="30" customWidth="1"/>
    <col min="5890" max="5928" width="1.140625" style="30" customWidth="1"/>
    <col min="5929" max="6053" width="0.85546875" style="30" customWidth="1"/>
    <col min="6054" max="6144" width="9.140625" style="30"/>
    <col min="6145" max="6145" width="0.85546875" style="30" customWidth="1"/>
    <col min="6146" max="6184" width="1.140625" style="30" customWidth="1"/>
    <col min="6185" max="6309" width="0.85546875" style="30" customWidth="1"/>
    <col min="6310" max="6400" width="9.140625" style="30"/>
    <col min="6401" max="6401" width="0.85546875" style="30" customWidth="1"/>
    <col min="6402" max="6440" width="1.140625" style="30" customWidth="1"/>
    <col min="6441" max="6565" width="0.85546875" style="30" customWidth="1"/>
    <col min="6566" max="6656" width="9.140625" style="30"/>
    <col min="6657" max="6657" width="0.85546875" style="30" customWidth="1"/>
    <col min="6658" max="6696" width="1.140625" style="30" customWidth="1"/>
    <col min="6697" max="6821" width="0.85546875" style="30" customWidth="1"/>
    <col min="6822" max="6912" width="9.140625" style="30"/>
    <col min="6913" max="6913" width="0.85546875" style="30" customWidth="1"/>
    <col min="6914" max="6952" width="1.140625" style="30" customWidth="1"/>
    <col min="6953" max="7077" width="0.85546875" style="30" customWidth="1"/>
    <col min="7078" max="7168" width="9.140625" style="30"/>
    <col min="7169" max="7169" width="0.85546875" style="30" customWidth="1"/>
    <col min="7170" max="7208" width="1.140625" style="30" customWidth="1"/>
    <col min="7209" max="7333" width="0.85546875" style="30" customWidth="1"/>
    <col min="7334" max="7424" width="9.140625" style="30"/>
    <col min="7425" max="7425" width="0.85546875" style="30" customWidth="1"/>
    <col min="7426" max="7464" width="1.140625" style="30" customWidth="1"/>
    <col min="7465" max="7589" width="0.85546875" style="30" customWidth="1"/>
    <col min="7590" max="7680" width="9.140625" style="30"/>
    <col min="7681" max="7681" width="0.85546875" style="30" customWidth="1"/>
    <col min="7682" max="7720" width="1.140625" style="30" customWidth="1"/>
    <col min="7721" max="7845" width="0.85546875" style="30" customWidth="1"/>
    <col min="7846" max="7936" width="9.140625" style="30"/>
    <col min="7937" max="7937" width="0.85546875" style="30" customWidth="1"/>
    <col min="7938" max="7976" width="1.140625" style="30" customWidth="1"/>
    <col min="7977" max="8101" width="0.85546875" style="30" customWidth="1"/>
    <col min="8102" max="8192" width="9.140625" style="30"/>
    <col min="8193" max="8193" width="0.85546875" style="30" customWidth="1"/>
    <col min="8194" max="8232" width="1.140625" style="30" customWidth="1"/>
    <col min="8233" max="8357" width="0.85546875" style="30" customWidth="1"/>
    <col min="8358" max="8448" width="9.140625" style="30"/>
    <col min="8449" max="8449" width="0.85546875" style="30" customWidth="1"/>
    <col min="8450" max="8488" width="1.140625" style="30" customWidth="1"/>
    <col min="8489" max="8613" width="0.85546875" style="30" customWidth="1"/>
    <col min="8614" max="8704" width="9.140625" style="30"/>
    <col min="8705" max="8705" width="0.85546875" style="30" customWidth="1"/>
    <col min="8706" max="8744" width="1.140625" style="30" customWidth="1"/>
    <col min="8745" max="8869" width="0.85546875" style="30" customWidth="1"/>
    <col min="8870" max="8960" width="9.140625" style="30"/>
    <col min="8961" max="8961" width="0.85546875" style="30" customWidth="1"/>
    <col min="8962" max="9000" width="1.140625" style="30" customWidth="1"/>
    <col min="9001" max="9125" width="0.85546875" style="30" customWidth="1"/>
    <col min="9126" max="9216" width="9.140625" style="30"/>
    <col min="9217" max="9217" width="0.85546875" style="30" customWidth="1"/>
    <col min="9218" max="9256" width="1.140625" style="30" customWidth="1"/>
    <col min="9257" max="9381" width="0.85546875" style="30" customWidth="1"/>
    <col min="9382" max="9472" width="9.140625" style="30"/>
    <col min="9473" max="9473" width="0.85546875" style="30" customWidth="1"/>
    <col min="9474" max="9512" width="1.140625" style="30" customWidth="1"/>
    <col min="9513" max="9637" width="0.85546875" style="30" customWidth="1"/>
    <col min="9638" max="9728" width="9.140625" style="30"/>
    <col min="9729" max="9729" width="0.85546875" style="30" customWidth="1"/>
    <col min="9730" max="9768" width="1.140625" style="30" customWidth="1"/>
    <col min="9769" max="9893" width="0.85546875" style="30" customWidth="1"/>
    <col min="9894" max="9984" width="9.140625" style="30"/>
    <col min="9985" max="9985" width="0.85546875" style="30" customWidth="1"/>
    <col min="9986" max="10024" width="1.140625" style="30" customWidth="1"/>
    <col min="10025" max="10149" width="0.85546875" style="30" customWidth="1"/>
    <col min="10150" max="10240" width="9.140625" style="30"/>
    <col min="10241" max="10241" width="0.85546875" style="30" customWidth="1"/>
    <col min="10242" max="10280" width="1.140625" style="30" customWidth="1"/>
    <col min="10281" max="10405" width="0.85546875" style="30" customWidth="1"/>
    <col min="10406" max="10496" width="9.140625" style="30"/>
    <col min="10497" max="10497" width="0.85546875" style="30" customWidth="1"/>
    <col min="10498" max="10536" width="1.140625" style="30" customWidth="1"/>
    <col min="10537" max="10661" width="0.85546875" style="30" customWidth="1"/>
    <col min="10662" max="10752" width="9.140625" style="30"/>
    <col min="10753" max="10753" width="0.85546875" style="30" customWidth="1"/>
    <col min="10754" max="10792" width="1.140625" style="30" customWidth="1"/>
    <col min="10793" max="10917" width="0.85546875" style="30" customWidth="1"/>
    <col min="10918" max="11008" width="9.140625" style="30"/>
    <col min="11009" max="11009" width="0.85546875" style="30" customWidth="1"/>
    <col min="11010" max="11048" width="1.140625" style="30" customWidth="1"/>
    <col min="11049" max="11173" width="0.85546875" style="30" customWidth="1"/>
    <col min="11174" max="11264" width="9.140625" style="30"/>
    <col min="11265" max="11265" width="0.85546875" style="30" customWidth="1"/>
    <col min="11266" max="11304" width="1.140625" style="30" customWidth="1"/>
    <col min="11305" max="11429" width="0.85546875" style="30" customWidth="1"/>
    <col min="11430" max="11520" width="9.140625" style="30"/>
    <col min="11521" max="11521" width="0.85546875" style="30" customWidth="1"/>
    <col min="11522" max="11560" width="1.140625" style="30" customWidth="1"/>
    <col min="11561" max="11685" width="0.85546875" style="30" customWidth="1"/>
    <col min="11686" max="11776" width="9.140625" style="30"/>
    <col min="11777" max="11777" width="0.85546875" style="30" customWidth="1"/>
    <col min="11778" max="11816" width="1.140625" style="30" customWidth="1"/>
    <col min="11817" max="11941" width="0.85546875" style="30" customWidth="1"/>
    <col min="11942" max="12032" width="9.140625" style="30"/>
    <col min="12033" max="12033" width="0.85546875" style="30" customWidth="1"/>
    <col min="12034" max="12072" width="1.140625" style="30" customWidth="1"/>
    <col min="12073" max="12197" width="0.85546875" style="30" customWidth="1"/>
    <col min="12198" max="12288" width="9.140625" style="30"/>
    <col min="12289" max="12289" width="0.85546875" style="30" customWidth="1"/>
    <col min="12290" max="12328" width="1.140625" style="30" customWidth="1"/>
    <col min="12329" max="12453" width="0.85546875" style="30" customWidth="1"/>
    <col min="12454" max="12544" width="9.140625" style="30"/>
    <col min="12545" max="12545" width="0.85546875" style="30" customWidth="1"/>
    <col min="12546" max="12584" width="1.140625" style="30" customWidth="1"/>
    <col min="12585" max="12709" width="0.85546875" style="30" customWidth="1"/>
    <col min="12710" max="12800" width="9.140625" style="30"/>
    <col min="12801" max="12801" width="0.85546875" style="30" customWidth="1"/>
    <col min="12802" max="12840" width="1.140625" style="30" customWidth="1"/>
    <col min="12841" max="12965" width="0.85546875" style="30" customWidth="1"/>
    <col min="12966" max="13056" width="9.140625" style="30"/>
    <col min="13057" max="13057" width="0.85546875" style="30" customWidth="1"/>
    <col min="13058" max="13096" width="1.140625" style="30" customWidth="1"/>
    <col min="13097" max="13221" width="0.85546875" style="30" customWidth="1"/>
    <col min="13222" max="13312" width="9.140625" style="30"/>
    <col min="13313" max="13313" width="0.85546875" style="30" customWidth="1"/>
    <col min="13314" max="13352" width="1.140625" style="30" customWidth="1"/>
    <col min="13353" max="13477" width="0.85546875" style="30" customWidth="1"/>
    <col min="13478" max="13568" width="9.140625" style="30"/>
    <col min="13569" max="13569" width="0.85546875" style="30" customWidth="1"/>
    <col min="13570" max="13608" width="1.140625" style="30" customWidth="1"/>
    <col min="13609" max="13733" width="0.85546875" style="30" customWidth="1"/>
    <col min="13734" max="13824" width="9.140625" style="30"/>
    <col min="13825" max="13825" width="0.85546875" style="30" customWidth="1"/>
    <col min="13826" max="13864" width="1.140625" style="30" customWidth="1"/>
    <col min="13865" max="13989" width="0.85546875" style="30" customWidth="1"/>
    <col min="13990" max="14080" width="9.140625" style="30"/>
    <col min="14081" max="14081" width="0.85546875" style="30" customWidth="1"/>
    <col min="14082" max="14120" width="1.140625" style="30" customWidth="1"/>
    <col min="14121" max="14245" width="0.85546875" style="30" customWidth="1"/>
    <col min="14246" max="14336" width="9.140625" style="30"/>
    <col min="14337" max="14337" width="0.85546875" style="30" customWidth="1"/>
    <col min="14338" max="14376" width="1.140625" style="30" customWidth="1"/>
    <col min="14377" max="14501" width="0.85546875" style="30" customWidth="1"/>
    <col min="14502" max="14592" width="9.140625" style="30"/>
    <col min="14593" max="14593" width="0.85546875" style="30" customWidth="1"/>
    <col min="14594" max="14632" width="1.140625" style="30" customWidth="1"/>
    <col min="14633" max="14757" width="0.85546875" style="30" customWidth="1"/>
    <col min="14758" max="14848" width="9.140625" style="30"/>
    <col min="14849" max="14849" width="0.85546875" style="30" customWidth="1"/>
    <col min="14850" max="14888" width="1.140625" style="30" customWidth="1"/>
    <col min="14889" max="15013" width="0.85546875" style="30" customWidth="1"/>
    <col min="15014" max="15104" width="9.140625" style="30"/>
    <col min="15105" max="15105" width="0.85546875" style="30" customWidth="1"/>
    <col min="15106" max="15144" width="1.140625" style="30" customWidth="1"/>
    <col min="15145" max="15269" width="0.85546875" style="30" customWidth="1"/>
    <col min="15270" max="15360" width="9.140625" style="30"/>
    <col min="15361" max="15361" width="0.85546875" style="30" customWidth="1"/>
    <col min="15362" max="15400" width="1.140625" style="30" customWidth="1"/>
    <col min="15401" max="15525" width="0.85546875" style="30" customWidth="1"/>
    <col min="15526" max="15616" width="9.140625" style="30"/>
    <col min="15617" max="15617" width="0.85546875" style="30" customWidth="1"/>
    <col min="15618" max="15656" width="1.140625" style="30" customWidth="1"/>
    <col min="15657" max="15781" width="0.85546875" style="30" customWidth="1"/>
    <col min="15782" max="15872" width="9.140625" style="30"/>
    <col min="15873" max="15873" width="0.85546875" style="30" customWidth="1"/>
    <col min="15874" max="15912" width="1.140625" style="30" customWidth="1"/>
    <col min="15913" max="16037" width="0.85546875" style="30" customWidth="1"/>
    <col min="16038" max="16128" width="9.140625" style="30"/>
    <col min="16129" max="16129" width="0.85546875" style="30" customWidth="1"/>
    <col min="16130" max="16168" width="1.140625" style="30" customWidth="1"/>
    <col min="16169" max="16293" width="0.85546875" style="30" customWidth="1"/>
    <col min="16294" max="16384" width="9.140625" style="30"/>
  </cols>
  <sheetData>
    <row r="1" spans="1:155" ht="15" x14ac:dyDescent="0.25">
      <c r="A1" s="29"/>
      <c r="B1" s="29"/>
      <c r="C1" s="29"/>
      <c r="D1" s="29"/>
      <c r="E1" s="29"/>
      <c r="F1" s="29"/>
      <c r="G1" s="177" t="s">
        <v>67</v>
      </c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CD1" s="177" t="s">
        <v>52</v>
      </c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18"/>
      <c r="DU1" s="118"/>
      <c r="DV1" s="118"/>
    </row>
    <row r="2" spans="1:155" ht="62.25" customHeight="1" x14ac:dyDescent="0.25">
      <c r="A2" s="29"/>
      <c r="B2" s="29"/>
      <c r="C2" s="29"/>
      <c r="D2" s="29"/>
      <c r="E2" s="29"/>
      <c r="F2" s="29"/>
      <c r="G2" s="178" t="s">
        <v>288</v>
      </c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BZ2" s="180" t="s">
        <v>292</v>
      </c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18"/>
      <c r="DU2" s="118"/>
      <c r="DV2" s="118"/>
      <c r="DW2" s="34"/>
    </row>
    <row r="3" spans="1:155" ht="15" customHeight="1" x14ac:dyDescent="0.2">
      <c r="A3" s="15"/>
      <c r="B3" s="15"/>
      <c r="C3" s="15"/>
      <c r="D3" s="15"/>
      <c r="E3" s="15"/>
      <c r="F3" s="15"/>
      <c r="G3" s="179" t="s">
        <v>68</v>
      </c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BZ3" s="179" t="s">
        <v>53</v>
      </c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45"/>
      <c r="DU3" s="45"/>
      <c r="DV3" s="45"/>
      <c r="DW3" s="34"/>
    </row>
    <row r="4" spans="1:155" ht="23.25" customHeight="1" x14ac:dyDescent="0.25">
      <c r="A4" s="29"/>
      <c r="B4" s="29"/>
      <c r="C4" s="29"/>
      <c r="D4" s="29"/>
      <c r="E4" s="29"/>
      <c r="F4" s="29"/>
      <c r="G4" s="184" t="s">
        <v>289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CD4" s="184" t="s">
        <v>293</v>
      </c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18"/>
      <c r="DU4" s="118"/>
      <c r="DV4" s="118"/>
      <c r="DW4" s="34"/>
    </row>
    <row r="5" spans="1:155" x14ac:dyDescent="0.2">
      <c r="A5" s="16"/>
      <c r="B5" s="16"/>
      <c r="C5" s="16"/>
      <c r="D5" s="16"/>
      <c r="E5" s="16"/>
      <c r="F5" s="16"/>
      <c r="G5" s="185" t="s">
        <v>54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6"/>
      <c r="W5" s="16"/>
      <c r="X5" s="185" t="s">
        <v>55</v>
      </c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CD5" s="185" t="s">
        <v>54</v>
      </c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6"/>
      <c r="CW5" s="16"/>
      <c r="CX5" s="16"/>
      <c r="CY5" s="16"/>
      <c r="CZ5" s="31" t="s">
        <v>55</v>
      </c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3"/>
      <c r="DU5" s="33"/>
      <c r="DV5" s="33"/>
    </row>
    <row r="6" spans="1:155" ht="15.2" customHeight="1" x14ac:dyDescent="0.25">
      <c r="A6" s="17"/>
      <c r="B6" s="17"/>
      <c r="C6" s="17"/>
      <c r="D6" s="17"/>
      <c r="E6" s="119"/>
      <c r="F6" s="18"/>
      <c r="I6" s="119" t="s">
        <v>56</v>
      </c>
      <c r="J6" s="32"/>
      <c r="K6" s="32"/>
      <c r="L6" s="29" t="s">
        <v>56</v>
      </c>
      <c r="M6" s="18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7" t="s">
        <v>65</v>
      </c>
      <c r="AE6" s="187"/>
      <c r="AF6" s="187"/>
      <c r="AG6" s="188"/>
      <c r="AH6" s="188"/>
      <c r="AI6" s="188"/>
      <c r="AJ6" s="177" t="s">
        <v>66</v>
      </c>
      <c r="AK6" s="177"/>
      <c r="AL6" s="29"/>
      <c r="AM6" s="18"/>
      <c r="AN6" s="18"/>
      <c r="AO6" s="18"/>
      <c r="AP6" s="18"/>
      <c r="AQ6" s="29"/>
      <c r="CH6" s="119" t="s">
        <v>56</v>
      </c>
      <c r="CI6" s="189"/>
      <c r="CJ6" s="189"/>
      <c r="CK6" s="189"/>
      <c r="CL6" s="189"/>
      <c r="CM6" s="29" t="s">
        <v>56</v>
      </c>
      <c r="CP6" s="177" t="s">
        <v>124</v>
      </c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90">
        <v>20</v>
      </c>
      <c r="DJ6" s="190"/>
      <c r="DK6" s="190"/>
      <c r="DL6" s="189"/>
      <c r="DM6" s="189"/>
      <c r="DN6" s="189"/>
      <c r="DO6" s="189"/>
      <c r="DP6" s="29" t="s">
        <v>57</v>
      </c>
    </row>
    <row r="7" spans="1:155" ht="15" x14ac:dyDescent="0.25">
      <c r="BN7" s="29"/>
      <c r="CY7" s="19"/>
      <c r="DF7" s="29"/>
      <c r="DG7" s="29"/>
    </row>
    <row r="8" spans="1:155" ht="45.75" customHeight="1" x14ac:dyDescent="0.3">
      <c r="A8" s="191" t="s">
        <v>272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</row>
    <row r="9" spans="1:155" ht="39" customHeight="1" x14ac:dyDescent="0.25">
      <c r="DF9" s="29"/>
    </row>
    <row r="10" spans="1:155" ht="15" x14ac:dyDescent="0.2">
      <c r="DJ10" s="192" t="s">
        <v>58</v>
      </c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</row>
    <row r="11" spans="1:155" ht="15.2" customHeight="1" x14ac:dyDescent="0.25"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DH11" s="119" t="s">
        <v>59</v>
      </c>
      <c r="DJ11" s="181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3"/>
    </row>
    <row r="12" spans="1:155" ht="15.2" customHeight="1" x14ac:dyDescent="0.25">
      <c r="X12" s="34"/>
      <c r="Y12" s="34"/>
      <c r="Z12" s="34"/>
      <c r="AA12" s="34"/>
      <c r="AB12" s="34"/>
      <c r="AC12" s="20"/>
      <c r="AD12" s="196"/>
      <c r="AE12" s="196"/>
      <c r="AF12" s="196"/>
      <c r="AG12" s="196"/>
      <c r="AH12" s="21"/>
      <c r="AI12" s="21"/>
      <c r="AJ12" s="21" t="s">
        <v>56</v>
      </c>
      <c r="AK12" s="21"/>
      <c r="AL12" s="117"/>
      <c r="AM12" s="117"/>
      <c r="AN12" s="117"/>
      <c r="AO12" s="117"/>
      <c r="AP12" s="35" t="s">
        <v>56</v>
      </c>
      <c r="AQ12" s="35"/>
      <c r="AR12" s="35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35">
        <v>20</v>
      </c>
      <c r="BL12" s="198"/>
      <c r="BM12" s="198"/>
      <c r="BN12" s="198"/>
      <c r="BO12" s="198"/>
      <c r="BP12" s="198"/>
      <c r="BQ12" s="198"/>
      <c r="BR12" s="198"/>
      <c r="BS12" s="21" t="s">
        <v>57</v>
      </c>
      <c r="BT12" s="21"/>
      <c r="CT12" s="22"/>
      <c r="DH12" s="119" t="s">
        <v>60</v>
      </c>
      <c r="DJ12" s="181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3"/>
    </row>
    <row r="13" spans="1:155" ht="24" customHeight="1" x14ac:dyDescent="0.25">
      <c r="BH13" s="29"/>
      <c r="CT13" s="22"/>
      <c r="CU13" s="22"/>
      <c r="DH13" s="119"/>
      <c r="DJ13" s="181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3"/>
    </row>
    <row r="14" spans="1:155" ht="15" x14ac:dyDescent="0.25">
      <c r="CT14" s="22"/>
      <c r="CU14" s="22"/>
      <c r="DH14" s="119"/>
      <c r="DJ14" s="181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3"/>
    </row>
    <row r="15" spans="1:155" ht="15.2" customHeight="1" x14ac:dyDescent="0.25">
      <c r="A15" s="199" t="s">
        <v>69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47"/>
      <c r="AM15" s="47"/>
      <c r="AN15" s="47"/>
      <c r="AO15" s="199" t="s">
        <v>126</v>
      </c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23"/>
      <c r="CT15" s="23"/>
      <c r="DH15" s="119" t="s">
        <v>61</v>
      </c>
      <c r="DJ15" s="181" t="s">
        <v>125</v>
      </c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3"/>
    </row>
    <row r="16" spans="1:155" ht="15.2" customHeight="1" x14ac:dyDescent="0.25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47"/>
      <c r="AM16" s="47"/>
      <c r="AN16" s="47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23"/>
      <c r="CT16" s="23"/>
      <c r="CU16" s="22"/>
      <c r="DH16" s="119"/>
      <c r="DJ16" s="181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3"/>
    </row>
    <row r="17" spans="1:165" ht="66" customHeight="1" x14ac:dyDescent="0.25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47"/>
      <c r="AM17" s="47"/>
      <c r="AN17" s="47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23"/>
      <c r="CT17" s="23"/>
      <c r="CU17" s="22"/>
      <c r="DH17" s="24"/>
      <c r="DJ17" s="181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3"/>
    </row>
    <row r="18" spans="1:165" ht="15.7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T18" s="22"/>
      <c r="CU18" s="22"/>
      <c r="DH18" s="119"/>
      <c r="DJ18" s="193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5"/>
    </row>
    <row r="19" spans="1:165" ht="15.2" customHeight="1" x14ac:dyDescent="0.2">
      <c r="A19" s="200" t="s">
        <v>62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48"/>
      <c r="AM19" s="48"/>
      <c r="AN19" s="48"/>
      <c r="AO19" s="201" t="s">
        <v>127</v>
      </c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5"/>
      <c r="CT19" s="25"/>
      <c r="DH19" s="26"/>
      <c r="DJ19" s="202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4"/>
    </row>
    <row r="20" spans="1:165" ht="19.5" customHeight="1" x14ac:dyDescent="0.2">
      <c r="A20" s="200" t="s">
        <v>72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48"/>
      <c r="AM20" s="48"/>
      <c r="AN20" s="48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DH20" s="27" t="s">
        <v>63</v>
      </c>
      <c r="DJ20" s="202" t="s">
        <v>64</v>
      </c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4"/>
    </row>
    <row r="21" spans="1:165" ht="15.2" customHeight="1" x14ac:dyDescent="0.2">
      <c r="A21" s="200" t="s">
        <v>73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48"/>
      <c r="AM21" s="48"/>
      <c r="AN21" s="48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27"/>
      <c r="DI21" s="34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</row>
    <row r="22" spans="1:165" ht="15.75" x14ac:dyDescent="0.2">
      <c r="A22" s="4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41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S22" s="28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</row>
    <row r="23" spans="1:165" ht="21" customHeight="1" x14ac:dyDescent="0.2">
      <c r="A23" s="199" t="s">
        <v>70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47"/>
      <c r="AM23" s="47"/>
      <c r="AN23" s="47"/>
      <c r="AO23" s="199" t="s">
        <v>172</v>
      </c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23"/>
      <c r="DR23" s="23"/>
      <c r="DS23" s="23"/>
      <c r="DT23" s="23"/>
    </row>
    <row r="24" spans="1:165" ht="21" customHeight="1" x14ac:dyDescent="0.2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47"/>
      <c r="AM24" s="47"/>
      <c r="AN24" s="47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23"/>
      <c r="DR24" s="23"/>
      <c r="DS24" s="23"/>
      <c r="DT24" s="23"/>
    </row>
    <row r="25" spans="1:165" ht="15" customHeight="1" x14ac:dyDescent="0.2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47"/>
      <c r="AM25" s="47"/>
      <c r="AN25" s="47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23"/>
      <c r="DR25" s="23"/>
      <c r="DS25" s="23"/>
      <c r="DT25" s="23"/>
    </row>
    <row r="26" spans="1:165" ht="15.75" x14ac:dyDescent="0.25">
      <c r="A26" s="4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43"/>
      <c r="CP26" s="43"/>
      <c r="CQ26" s="43"/>
      <c r="CR26" s="43"/>
      <c r="CS26" s="43"/>
      <c r="CT26" s="43"/>
      <c r="CU26" s="43"/>
      <c r="CV26" s="43"/>
      <c r="CW26" s="37"/>
      <c r="CX26" s="37"/>
      <c r="CY26" s="37"/>
      <c r="CZ26" s="37"/>
      <c r="DA26" s="37"/>
      <c r="DB26" s="37"/>
      <c r="DC26" s="37"/>
      <c r="DD26" s="37"/>
      <c r="DE26" s="37"/>
      <c r="DF26" s="39"/>
      <c r="DG26" s="37"/>
      <c r="DH26" s="37"/>
      <c r="DI26" s="37"/>
      <c r="DJ26" s="37"/>
      <c r="DK26" s="37"/>
      <c r="DL26" s="37"/>
      <c r="DM26" s="37"/>
      <c r="DN26" s="37"/>
      <c r="DO26" s="37"/>
      <c r="DP26" s="37"/>
    </row>
    <row r="27" spans="1:165" ht="15.2" hidden="1" customHeight="1" x14ac:dyDescent="0.25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36"/>
      <c r="AP27" s="36"/>
      <c r="AQ27" s="36"/>
      <c r="AR27" s="36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23"/>
      <c r="DR27" s="23"/>
      <c r="DS27" s="23"/>
      <c r="DT27" s="23"/>
    </row>
    <row r="28" spans="1:165" ht="15.2" hidden="1" customHeight="1" x14ac:dyDescent="0.25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36"/>
      <c r="AP28" s="36"/>
      <c r="AQ28" s="36"/>
      <c r="AR28" s="36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23"/>
      <c r="DR28" s="23"/>
      <c r="DS28" s="23"/>
      <c r="DT28" s="23"/>
    </row>
    <row r="29" spans="1:165" ht="15.2" hidden="1" customHeight="1" x14ac:dyDescent="0.25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36"/>
      <c r="AP29" s="36"/>
      <c r="AQ29" s="36"/>
      <c r="AR29" s="36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23"/>
      <c r="DR29" s="23"/>
      <c r="DS29" s="23"/>
      <c r="DT29" s="23"/>
    </row>
    <row r="30" spans="1:165" ht="15" hidden="1" x14ac:dyDescent="0.25">
      <c r="DF30" s="29"/>
    </row>
    <row r="31" spans="1:165" ht="21" customHeight="1" x14ac:dyDescent="0.3">
      <c r="A31" s="206" t="s">
        <v>71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</row>
    <row r="32" spans="1:165" ht="13.9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</row>
    <row r="33" spans="1:165" ht="174.75" customHeight="1" x14ac:dyDescent="0.25">
      <c r="A33" s="199" t="s">
        <v>128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</row>
    <row r="34" spans="1:165" ht="282" customHeight="1" x14ac:dyDescent="0.25">
      <c r="A34" s="199" t="s">
        <v>131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</row>
    <row r="35" spans="1:165" ht="384" customHeight="1" x14ac:dyDescent="0.25">
      <c r="A35" s="180" t="s">
        <v>132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29"/>
      <c r="FA35" s="50"/>
      <c r="FB35" s="50"/>
      <c r="FC35" s="50"/>
      <c r="FD35" s="50"/>
      <c r="FE35" s="50"/>
      <c r="FF35" s="50"/>
      <c r="FG35" s="50"/>
      <c r="FH35" s="50"/>
      <c r="FI35" s="50"/>
    </row>
    <row r="36" spans="1:165" ht="124.5" customHeight="1" x14ac:dyDescent="0.2">
      <c r="A36" s="199" t="s">
        <v>251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Z36" s="88" t="s">
        <v>143</v>
      </c>
    </row>
    <row r="37" spans="1:165" ht="70.5" customHeight="1" x14ac:dyDescent="0.2">
      <c r="A37" s="180" t="s">
        <v>290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</row>
    <row r="38" spans="1:165" ht="24.75" customHeight="1" x14ac:dyDescent="0.25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199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</row>
    <row r="39" spans="1:165" ht="41.25" customHeight="1" x14ac:dyDescent="0.25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29"/>
      <c r="FA39" s="50"/>
      <c r="FB39" s="50"/>
      <c r="FC39" s="50"/>
      <c r="FD39" s="50"/>
      <c r="FE39" s="50"/>
      <c r="FF39" s="50"/>
      <c r="FG39" s="50"/>
      <c r="FH39" s="50"/>
      <c r="FI39" s="50"/>
    </row>
    <row r="40" spans="1:165" ht="15.75" x14ac:dyDescent="0.2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</row>
    <row r="41" spans="1:165" ht="15" x14ac:dyDescent="0.2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0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</row>
  </sheetData>
  <mergeCells count="57">
    <mergeCell ref="A38:DU38"/>
    <mergeCell ref="A39:DU39"/>
    <mergeCell ref="A40:DU40"/>
    <mergeCell ref="A41:DU41"/>
    <mergeCell ref="A31:DU31"/>
    <mergeCell ref="A33:DU33"/>
    <mergeCell ref="A34:DU34"/>
    <mergeCell ref="A35:DU35"/>
    <mergeCell ref="A36:DU36"/>
    <mergeCell ref="A37:DU37"/>
    <mergeCell ref="A27:AN29"/>
    <mergeCell ref="AS27:DP29"/>
    <mergeCell ref="A19:AK19"/>
    <mergeCell ref="AO19:CR19"/>
    <mergeCell ref="DJ19:DY19"/>
    <mergeCell ref="A20:AK20"/>
    <mergeCell ref="AO20:CR20"/>
    <mergeCell ref="DJ20:DY20"/>
    <mergeCell ref="A21:AK21"/>
    <mergeCell ref="AO21:CR21"/>
    <mergeCell ref="DJ21:DY21"/>
    <mergeCell ref="A23:AK25"/>
    <mergeCell ref="AO23:CR25"/>
    <mergeCell ref="DJ18:DY18"/>
    <mergeCell ref="AD12:AG12"/>
    <mergeCell ref="AS12:BJ12"/>
    <mergeCell ref="BL12:BR12"/>
    <mergeCell ref="DJ12:DY12"/>
    <mergeCell ref="DJ13:DY13"/>
    <mergeCell ref="DJ14:DY14"/>
    <mergeCell ref="A15:AK17"/>
    <mergeCell ref="AO15:CR17"/>
    <mergeCell ref="DJ15:DY15"/>
    <mergeCell ref="DJ16:DY16"/>
    <mergeCell ref="DJ17:DY17"/>
    <mergeCell ref="DJ11:DY11"/>
    <mergeCell ref="G4:AM4"/>
    <mergeCell ref="CD4:DS4"/>
    <mergeCell ref="G5:U5"/>
    <mergeCell ref="X5:AM5"/>
    <mergeCell ref="CD5:CU5"/>
    <mergeCell ref="N6:AC6"/>
    <mergeCell ref="AD6:AF6"/>
    <mergeCell ref="AG6:AI6"/>
    <mergeCell ref="AJ6:AK6"/>
    <mergeCell ref="CI6:CL6"/>
    <mergeCell ref="CP6:DH6"/>
    <mergeCell ref="DI6:DK6"/>
    <mergeCell ref="DL6:DO6"/>
    <mergeCell ref="A8:DS8"/>
    <mergeCell ref="DJ10:DY10"/>
    <mergeCell ref="G1:AM1"/>
    <mergeCell ref="CD1:DS1"/>
    <mergeCell ref="G2:AM2"/>
    <mergeCell ref="G3:AM3"/>
    <mergeCell ref="BZ2:DS2"/>
    <mergeCell ref="BZ3:DS3"/>
  </mergeCells>
  <pageMargins left="0.59" right="0.11" top="0.23" bottom="0.2" header="0.19" footer="0.15"/>
  <pageSetup paperSize="9" scale="75" orientation="portrait" verticalDpi="0" r:id="rId1"/>
  <rowBreaks count="1" manualBreakCount="1">
    <brk id="34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6"/>
  <sheetViews>
    <sheetView view="pageBreakPreview" zoomScale="77" zoomScaleNormal="100" zoomScaleSheetLayoutView="77" workbookViewId="0">
      <selection activeCell="D11" sqref="D11"/>
    </sheetView>
  </sheetViews>
  <sheetFormatPr defaultRowHeight="24" customHeight="1" x14ac:dyDescent="0.2"/>
  <cols>
    <col min="1" max="1" width="9.140625" style="30"/>
    <col min="2" max="2" width="67.85546875" style="30" customWidth="1"/>
    <col min="3" max="3" width="27.140625" style="30" customWidth="1"/>
    <col min="4" max="4" width="80.42578125" style="162" customWidth="1"/>
    <col min="5" max="6" width="9.140625" style="162"/>
    <col min="7" max="16384" width="9.140625" style="30"/>
  </cols>
  <sheetData>
    <row r="1" spans="1:4" s="30" customFormat="1" ht="24" customHeight="1" x14ac:dyDescent="0.3">
      <c r="A1" s="208" t="s">
        <v>74</v>
      </c>
      <c r="B1" s="208"/>
      <c r="C1" s="208"/>
      <c r="D1" s="162" t="s">
        <v>143</v>
      </c>
    </row>
    <row r="2" spans="1:4" s="30" customFormat="1" ht="24" customHeight="1" x14ac:dyDescent="0.3">
      <c r="A2" s="209" t="s">
        <v>291</v>
      </c>
      <c r="B2" s="209"/>
      <c r="C2" s="209"/>
      <c r="D2" s="162"/>
    </row>
    <row r="3" spans="1:4" s="30" customFormat="1" ht="24" customHeight="1" x14ac:dyDescent="0.3">
      <c r="A3" s="161"/>
      <c r="D3" s="162"/>
    </row>
    <row r="4" spans="1:4" s="30" customFormat="1" ht="24" customHeight="1" x14ac:dyDescent="0.25">
      <c r="A4" s="53" t="s">
        <v>75</v>
      </c>
      <c r="B4" s="53" t="s">
        <v>0</v>
      </c>
      <c r="C4" s="53" t="s">
        <v>76</v>
      </c>
      <c r="D4" s="170" t="s">
        <v>261</v>
      </c>
    </row>
    <row r="5" spans="1:4" s="30" customFormat="1" ht="19.5" customHeight="1" x14ac:dyDescent="0.2">
      <c r="A5" s="53">
        <v>1</v>
      </c>
      <c r="B5" s="53">
        <v>2</v>
      </c>
      <c r="C5" s="53">
        <v>3</v>
      </c>
      <c r="D5" s="162"/>
    </row>
    <row r="6" spans="1:4" s="30" customFormat="1" ht="24" customHeight="1" x14ac:dyDescent="0.2">
      <c r="A6" s="54"/>
      <c r="B6" s="73" t="s">
        <v>77</v>
      </c>
      <c r="C6" s="166">
        <f>4764239.04/1000</f>
        <v>4764.2390400000004</v>
      </c>
      <c r="D6" s="163" t="s">
        <v>239</v>
      </c>
    </row>
    <row r="7" spans="1:4" s="30" customFormat="1" ht="24" customHeight="1" x14ac:dyDescent="0.2">
      <c r="A7" s="54"/>
      <c r="B7" s="56" t="s">
        <v>78</v>
      </c>
      <c r="C7" s="167">
        <f>7506588.24/1000</f>
        <v>7506.58824</v>
      </c>
      <c r="D7" s="163" t="s">
        <v>240</v>
      </c>
    </row>
    <row r="8" spans="1:4" s="30" customFormat="1" ht="24" customHeight="1" x14ac:dyDescent="0.2">
      <c r="A8" s="54"/>
      <c r="B8" s="57" t="s">
        <v>4</v>
      </c>
      <c r="C8" s="168"/>
      <c r="D8" s="163"/>
    </row>
    <row r="9" spans="1:4" s="30" customFormat="1" ht="24" customHeight="1" x14ac:dyDescent="0.2">
      <c r="A9" s="54"/>
      <c r="B9" s="57" t="s">
        <v>79</v>
      </c>
      <c r="C9" s="167">
        <f>4587190.85/1000</f>
        <v>4587.19085</v>
      </c>
      <c r="D9" s="163" t="s">
        <v>241</v>
      </c>
    </row>
    <row r="10" spans="1:4" s="30" customFormat="1" ht="24" customHeight="1" x14ac:dyDescent="0.3">
      <c r="A10" s="54"/>
      <c r="B10" s="58" t="s">
        <v>80</v>
      </c>
      <c r="C10" s="167">
        <f>3587107.47/1000</f>
        <v>3587.1074700000004</v>
      </c>
      <c r="D10" s="164" t="s">
        <v>242</v>
      </c>
    </row>
    <row r="11" spans="1:4" s="30" customFormat="1" ht="24" customHeight="1" x14ac:dyDescent="0.2">
      <c r="A11" s="54"/>
      <c r="B11" s="57" t="s">
        <v>4</v>
      </c>
      <c r="C11" s="168"/>
      <c r="D11" s="163"/>
    </row>
    <row r="12" spans="1:4" s="30" customFormat="1" ht="24" customHeight="1" x14ac:dyDescent="0.2">
      <c r="A12" s="54"/>
      <c r="B12" s="57" t="s">
        <v>79</v>
      </c>
      <c r="C12" s="169">
        <f>76953.28/1000</f>
        <v>76.953279999999992</v>
      </c>
      <c r="D12" s="163" t="s">
        <v>243</v>
      </c>
    </row>
    <row r="13" spans="1:4" s="30" customFormat="1" ht="24" customHeight="1" x14ac:dyDescent="0.2">
      <c r="A13" s="54"/>
      <c r="B13" s="73" t="s">
        <v>81</v>
      </c>
      <c r="C13" s="166">
        <f>985579.78/1000</f>
        <v>985.57978000000003</v>
      </c>
      <c r="D13" s="163" t="s">
        <v>244</v>
      </c>
    </row>
    <row r="14" spans="1:4" s="30" customFormat="1" ht="24" customHeight="1" x14ac:dyDescent="0.2">
      <c r="A14" s="54"/>
      <c r="B14" s="56" t="s">
        <v>82</v>
      </c>
      <c r="C14" s="167">
        <f>C16+C17</f>
        <v>794.06731000000002</v>
      </c>
      <c r="D14" s="163" t="s">
        <v>245</v>
      </c>
    </row>
    <row r="15" spans="1:4" s="30" customFormat="1" ht="24" customHeight="1" x14ac:dyDescent="0.2">
      <c r="A15" s="54"/>
      <c r="B15" s="59" t="s">
        <v>4</v>
      </c>
      <c r="C15" s="167"/>
      <c r="D15" s="163"/>
    </row>
    <row r="16" spans="1:4" s="30" customFormat="1" ht="24" customHeight="1" x14ac:dyDescent="0.2">
      <c r="A16" s="54"/>
      <c r="B16" s="59" t="s">
        <v>83</v>
      </c>
      <c r="C16" s="167">
        <f>794067.31/1000</f>
        <v>794.06731000000002</v>
      </c>
      <c r="D16" s="165" t="s">
        <v>246</v>
      </c>
    </row>
    <row r="17" spans="1:4" s="30" customFormat="1" ht="33" customHeight="1" x14ac:dyDescent="0.2">
      <c r="A17" s="54"/>
      <c r="B17" s="59" t="s">
        <v>84</v>
      </c>
      <c r="C17" s="167">
        <v>0</v>
      </c>
      <c r="D17" s="163"/>
    </row>
    <row r="18" spans="1:4" s="30" customFormat="1" ht="24" customHeight="1" x14ac:dyDescent="0.2">
      <c r="A18" s="54"/>
      <c r="B18" s="56" t="s">
        <v>85</v>
      </c>
      <c r="C18" s="167">
        <v>0</v>
      </c>
      <c r="D18" s="163"/>
    </row>
    <row r="19" spans="1:4" s="30" customFormat="1" ht="24" customHeight="1" x14ac:dyDescent="0.2">
      <c r="A19" s="54"/>
      <c r="B19" s="56" t="s">
        <v>86</v>
      </c>
      <c r="C19" s="167">
        <f>(46367.43-0)/1000</f>
        <v>46.367429999999999</v>
      </c>
      <c r="D19" s="163" t="s">
        <v>247</v>
      </c>
    </row>
    <row r="20" spans="1:4" s="30" customFormat="1" ht="24" customHeight="1" x14ac:dyDescent="0.2">
      <c r="A20" s="54"/>
      <c r="B20" s="56" t="s">
        <v>87</v>
      </c>
      <c r="C20" s="167">
        <f>(145145.04)/1000</f>
        <v>145.14503999999999</v>
      </c>
      <c r="D20" s="163" t="s">
        <v>248</v>
      </c>
    </row>
    <row r="21" spans="1:4" s="30" customFormat="1" ht="24" customHeight="1" x14ac:dyDescent="0.2">
      <c r="A21" s="54"/>
      <c r="B21" s="73" t="s">
        <v>88</v>
      </c>
      <c r="C21" s="166">
        <f>14067944.59/1000</f>
        <v>14067.944589999999</v>
      </c>
      <c r="D21" s="163" t="s">
        <v>249</v>
      </c>
    </row>
    <row r="22" spans="1:4" s="30" customFormat="1" ht="24" customHeight="1" x14ac:dyDescent="0.2">
      <c r="A22" s="54"/>
      <c r="B22" s="56" t="s">
        <v>12</v>
      </c>
      <c r="C22" s="167"/>
      <c r="D22" s="163"/>
    </row>
    <row r="23" spans="1:4" s="30" customFormat="1" ht="24" customHeight="1" x14ac:dyDescent="0.2">
      <c r="A23" s="54"/>
      <c r="B23" s="56" t="s">
        <v>89</v>
      </c>
      <c r="C23" s="167">
        <v>0</v>
      </c>
      <c r="D23" s="163"/>
    </row>
    <row r="24" spans="1:4" s="30" customFormat="1" ht="24" customHeight="1" x14ac:dyDescent="0.2">
      <c r="A24" s="54"/>
      <c r="B24" s="56" t="s">
        <v>90</v>
      </c>
      <c r="C24" s="167">
        <f>(1086244.22)/1000</f>
        <v>1086.24422</v>
      </c>
      <c r="D24" s="165" t="s">
        <v>250</v>
      </c>
    </row>
    <row r="25" spans="1:4" s="30" customFormat="1" ht="24" customHeight="1" x14ac:dyDescent="0.2">
      <c r="A25" s="54"/>
      <c r="B25" s="57" t="s">
        <v>4</v>
      </c>
      <c r="C25" s="167"/>
      <c r="D25" s="163"/>
    </row>
    <row r="26" spans="1:4" s="30" customFormat="1" ht="24" customHeight="1" x14ac:dyDescent="0.2">
      <c r="A26" s="54"/>
      <c r="B26" s="57" t="s">
        <v>91</v>
      </c>
      <c r="C26" s="167">
        <v>0</v>
      </c>
      <c r="D26" s="163"/>
    </row>
  </sheetData>
  <mergeCells count="2">
    <mergeCell ref="A1:C1"/>
    <mergeCell ref="A2:C2"/>
  </mergeCells>
  <pageMargins left="0.70866141732283472" right="0.11811023622047245" top="0.31496062992125984" bottom="0.74803149606299213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52"/>
  <sheetViews>
    <sheetView zoomScaleNormal="100" zoomScaleSheetLayoutView="82" workbookViewId="0">
      <pane ySplit="7" topLeftCell="A8" activePane="bottomLeft" state="frozen"/>
      <selection pane="bottomLeft" activeCell="BB25" sqref="BB25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7.285156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8.140625" style="9" customWidth="1"/>
    <col min="55" max="55" width="15.140625" style="9" customWidth="1"/>
    <col min="56" max="56" width="12.140625" style="9" customWidth="1"/>
    <col min="57" max="57" width="17.140625" style="9" customWidth="1"/>
    <col min="58" max="58" width="9.7109375" style="9" customWidth="1"/>
    <col min="59" max="59" width="26.140625" style="80" customWidth="1"/>
    <col min="60" max="60" width="16.140625" style="9" customWidth="1"/>
    <col min="61" max="61" width="16.28515625" style="9" customWidth="1"/>
    <col min="62" max="62" width="15.7109375" style="9" customWidth="1"/>
    <col min="63" max="63" width="15.85546875" style="9" bestFit="1" customWidth="1"/>
    <col min="64" max="64" width="16.140625" style="9" customWidth="1"/>
    <col min="65" max="16384" width="9.140625" style="9"/>
  </cols>
  <sheetData>
    <row r="1" spans="1:63" ht="12.75" x14ac:dyDescent="0.2"/>
    <row r="2" spans="1:63" ht="15" customHeight="1" x14ac:dyDescent="0.2">
      <c r="A2" s="225" t="s">
        <v>273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</row>
    <row r="3" spans="1:63" ht="12.75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"/>
      <c r="BD3" s="1"/>
      <c r="BE3" s="1"/>
      <c r="BF3" s="1"/>
    </row>
    <row r="4" spans="1:63" ht="12.75" customHeight="1" x14ac:dyDescent="0.2">
      <c r="A4" s="232" t="s">
        <v>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4"/>
      <c r="AY4" s="241" t="s">
        <v>1</v>
      </c>
      <c r="AZ4" s="244" t="s">
        <v>2</v>
      </c>
      <c r="BA4" s="226" t="s">
        <v>3</v>
      </c>
      <c r="BB4" s="227"/>
      <c r="BC4" s="227"/>
      <c r="BD4" s="227"/>
      <c r="BE4" s="227"/>
      <c r="BF4" s="227"/>
    </row>
    <row r="5" spans="1:63" ht="12.75" customHeight="1" x14ac:dyDescent="0.2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7"/>
      <c r="AY5" s="242"/>
      <c r="AZ5" s="230"/>
      <c r="BA5" s="230" t="s">
        <v>26</v>
      </c>
      <c r="BB5" s="243" t="s">
        <v>4</v>
      </c>
      <c r="BC5" s="243"/>
      <c r="BD5" s="243"/>
      <c r="BE5" s="243"/>
      <c r="BF5" s="243"/>
    </row>
    <row r="6" spans="1:63" ht="61.5" customHeight="1" x14ac:dyDescent="0.2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7"/>
      <c r="AY6" s="242"/>
      <c r="AZ6" s="230"/>
      <c r="BA6" s="230"/>
      <c r="BB6" s="229" t="s">
        <v>5</v>
      </c>
      <c r="BC6" s="229" t="s">
        <v>6</v>
      </c>
      <c r="BD6" s="229" t="s">
        <v>7</v>
      </c>
      <c r="BE6" s="229" t="s">
        <v>8</v>
      </c>
      <c r="BF6" s="229"/>
    </row>
    <row r="7" spans="1:63" ht="30" customHeight="1" x14ac:dyDescent="0.2">
      <c r="A7" s="238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40"/>
      <c r="AY7" s="243"/>
      <c r="AZ7" s="231"/>
      <c r="BA7" s="231"/>
      <c r="BB7" s="229"/>
      <c r="BC7" s="229"/>
      <c r="BD7" s="229"/>
      <c r="BE7" s="146" t="s">
        <v>9</v>
      </c>
      <c r="BF7" s="146" t="s">
        <v>10</v>
      </c>
      <c r="BG7" s="116">
        <f>BA9+BA137-BA24</f>
        <v>0</v>
      </c>
      <c r="BK7" s="9" t="s">
        <v>130</v>
      </c>
    </row>
    <row r="8" spans="1:63" ht="11.1" customHeight="1" x14ac:dyDescent="0.2">
      <c r="A8" s="226">
        <v>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8"/>
      <c r="AY8" s="2">
        <v>2</v>
      </c>
      <c r="AZ8" s="71">
        <v>3</v>
      </c>
      <c r="BA8" s="71">
        <v>4</v>
      </c>
      <c r="BB8" s="147">
        <v>5</v>
      </c>
      <c r="BC8" s="147">
        <v>6</v>
      </c>
      <c r="BD8" s="147">
        <v>7</v>
      </c>
      <c r="BE8" s="146">
        <v>8</v>
      </c>
      <c r="BF8" s="146">
        <v>9</v>
      </c>
    </row>
    <row r="9" spans="1:63" ht="23.25" customHeight="1" x14ac:dyDescent="0.2">
      <c r="A9" s="3"/>
      <c r="B9" s="223" t="s">
        <v>27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4"/>
      <c r="AY9" s="11">
        <v>100</v>
      </c>
      <c r="AZ9" s="72" t="s">
        <v>28</v>
      </c>
      <c r="BA9" s="126">
        <f>BA10+BA11+BA16+BA17+BA18+BA20+BA23+BA15+BA19</f>
        <v>24025066.419999998</v>
      </c>
      <c r="BB9" s="126">
        <f>BB11</f>
        <v>21234972.199999999</v>
      </c>
      <c r="BC9" s="126">
        <f>BC18+BC19</f>
        <v>1230094.22</v>
      </c>
      <c r="BD9" s="126">
        <f>BD18</f>
        <v>0</v>
      </c>
      <c r="BE9" s="126">
        <f>BE10+BE11+BE16+BE17+BE20+BE23+BE15</f>
        <v>1560000</v>
      </c>
      <c r="BF9" s="126">
        <f>BF11+BF20</f>
        <v>0</v>
      </c>
      <c r="BG9" s="100"/>
    </row>
    <row r="10" spans="1:63" ht="21.75" customHeight="1" x14ac:dyDescent="0.2">
      <c r="A10" s="5"/>
      <c r="B10" s="210" t="s">
        <v>47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1"/>
      <c r="AY10" s="8">
        <v>110</v>
      </c>
      <c r="AZ10" s="72" t="s">
        <v>181</v>
      </c>
      <c r="BA10" s="127">
        <f>BE10</f>
        <v>0</v>
      </c>
      <c r="BB10" s="128" t="s">
        <v>28</v>
      </c>
      <c r="BC10" s="128" t="s">
        <v>28</v>
      </c>
      <c r="BD10" s="128" t="s">
        <v>28</v>
      </c>
      <c r="BE10" s="128">
        <f>160000-160000</f>
        <v>0</v>
      </c>
      <c r="BF10" s="128" t="s">
        <v>28</v>
      </c>
      <c r="BG10" s="80" t="s">
        <v>255</v>
      </c>
    </row>
    <row r="11" spans="1:63" ht="19.5" customHeight="1" x14ac:dyDescent="0.2">
      <c r="A11" s="5"/>
      <c r="B11" s="210" t="s">
        <v>199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1"/>
      <c r="AY11" s="8">
        <v>120</v>
      </c>
      <c r="AZ11" s="72" t="s">
        <v>182</v>
      </c>
      <c r="BA11" s="127">
        <f>BB11+BE11+BF11</f>
        <v>22634972.199999999</v>
      </c>
      <c r="BB11" s="128">
        <f>SUM(BB12:BB14)</f>
        <v>21234972.199999999</v>
      </c>
      <c r="BC11" s="128" t="s">
        <v>28</v>
      </c>
      <c r="BD11" s="128" t="s">
        <v>28</v>
      </c>
      <c r="BE11" s="128">
        <f>SUM(BE12:BE14)</f>
        <v>1400000</v>
      </c>
      <c r="BF11" s="128">
        <v>0</v>
      </c>
      <c r="BG11" s="80" t="s">
        <v>256</v>
      </c>
    </row>
    <row r="12" spans="1:63" s="89" customFormat="1" ht="45.75" hidden="1" customHeight="1" x14ac:dyDescent="0.2">
      <c r="A12" s="215" t="s">
        <v>146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7"/>
      <c r="AY12" s="101"/>
      <c r="AZ12" s="102" t="s">
        <v>148</v>
      </c>
      <c r="BA12" s="129"/>
      <c r="BB12" s="129">
        <f>21087172+113811+33989.2</f>
        <v>21234972.199999999</v>
      </c>
      <c r="BC12" s="129"/>
      <c r="BD12" s="129"/>
      <c r="BE12" s="129"/>
      <c r="BF12" s="129"/>
      <c r="BG12" s="245" t="s">
        <v>145</v>
      </c>
    </row>
    <row r="13" spans="1:63" s="89" customFormat="1" ht="33.75" hidden="1" customHeight="1" x14ac:dyDescent="0.2">
      <c r="A13" s="215" t="s">
        <v>147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7"/>
      <c r="AY13" s="101"/>
      <c r="AZ13" s="102" t="s">
        <v>149</v>
      </c>
      <c r="BA13" s="129"/>
      <c r="BB13" s="129"/>
      <c r="BC13" s="129"/>
      <c r="BD13" s="129"/>
      <c r="BE13" s="129"/>
      <c r="BF13" s="129"/>
      <c r="BG13" s="245"/>
    </row>
    <row r="14" spans="1:63" s="89" customFormat="1" ht="61.5" hidden="1" customHeight="1" x14ac:dyDescent="0.2">
      <c r="A14" s="215" t="s">
        <v>151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7"/>
      <c r="AY14" s="101"/>
      <c r="AZ14" s="102" t="s">
        <v>150</v>
      </c>
      <c r="BA14" s="129"/>
      <c r="BB14" s="129"/>
      <c r="BC14" s="129"/>
      <c r="BD14" s="129"/>
      <c r="BE14" s="129">
        <f>1400000</f>
        <v>1400000</v>
      </c>
      <c r="BF14" s="129"/>
      <c r="BG14" s="245"/>
    </row>
    <row r="15" spans="1:63" s="121" customFormat="1" ht="18.75" customHeight="1" x14ac:dyDescent="0.2">
      <c r="A15" s="246" t="s">
        <v>200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8"/>
      <c r="AY15" s="139">
        <v>130</v>
      </c>
      <c r="AZ15" s="72" t="s">
        <v>186</v>
      </c>
      <c r="BA15" s="127">
        <f>BE15</f>
        <v>100000</v>
      </c>
      <c r="BB15" s="130"/>
      <c r="BC15" s="130"/>
      <c r="BD15" s="130"/>
      <c r="BE15" s="130">
        <v>100000</v>
      </c>
      <c r="BF15" s="130"/>
      <c r="BG15" s="176">
        <v>2011</v>
      </c>
    </row>
    <row r="16" spans="1:63" ht="17.25" customHeight="1" x14ac:dyDescent="0.2">
      <c r="A16" s="5"/>
      <c r="B16" s="210" t="s">
        <v>201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1"/>
      <c r="AY16" s="8">
        <v>140</v>
      </c>
      <c r="AZ16" s="72" t="s">
        <v>183</v>
      </c>
      <c r="BA16" s="127">
        <f>BE16</f>
        <v>60000</v>
      </c>
      <c r="BB16" s="128" t="s">
        <v>28</v>
      </c>
      <c r="BC16" s="128" t="s">
        <v>28</v>
      </c>
      <c r="BD16" s="128" t="s">
        <v>28</v>
      </c>
      <c r="BE16" s="130">
        <v>60000</v>
      </c>
      <c r="BF16" s="128" t="s">
        <v>28</v>
      </c>
      <c r="BG16" s="80" t="s">
        <v>170</v>
      </c>
    </row>
    <row r="17" spans="1:59" ht="52.5" customHeight="1" x14ac:dyDescent="0.2">
      <c r="A17" s="5"/>
      <c r="B17" s="210" t="s">
        <v>202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1"/>
      <c r="AY17" s="8">
        <v>150</v>
      </c>
      <c r="AZ17" s="72" t="s">
        <v>32</v>
      </c>
      <c r="BA17" s="127">
        <f>BE17</f>
        <v>0</v>
      </c>
      <c r="BB17" s="128" t="s">
        <v>28</v>
      </c>
      <c r="BC17" s="128" t="s">
        <v>28</v>
      </c>
      <c r="BD17" s="128" t="s">
        <v>28</v>
      </c>
      <c r="BE17" s="128">
        <v>0</v>
      </c>
      <c r="BF17" s="128" t="s">
        <v>28</v>
      </c>
    </row>
    <row r="18" spans="1:59" ht="39.75" customHeight="1" x14ac:dyDescent="0.2">
      <c r="A18" s="5"/>
      <c r="B18" s="210" t="s">
        <v>209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1"/>
      <c r="AY18" s="8">
        <v>160</v>
      </c>
      <c r="AZ18" s="72" t="s">
        <v>197</v>
      </c>
      <c r="BA18" s="127">
        <f>BC18+BD18</f>
        <v>1230094.22</v>
      </c>
      <c r="BB18" s="128" t="s">
        <v>28</v>
      </c>
      <c r="BC18" s="128">
        <f>156010+1012318.48+61765.74</f>
        <v>1230094.22</v>
      </c>
      <c r="BD18" s="128">
        <v>0</v>
      </c>
      <c r="BE18" s="128" t="s">
        <v>28</v>
      </c>
      <c r="BF18" s="128" t="s">
        <v>28</v>
      </c>
      <c r="BG18" s="80" t="s">
        <v>33</v>
      </c>
    </row>
    <row r="19" spans="1:59" ht="39.75" customHeight="1" x14ac:dyDescent="0.2">
      <c r="A19" s="5"/>
      <c r="B19" s="210" t="s">
        <v>270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1"/>
      <c r="AY19" s="8"/>
      <c r="AZ19" s="72" t="s">
        <v>269</v>
      </c>
      <c r="BA19" s="127">
        <f>BC19+BD19</f>
        <v>0</v>
      </c>
      <c r="BB19" s="128" t="s">
        <v>28</v>
      </c>
      <c r="BC19" s="128"/>
      <c r="BD19" s="128">
        <v>0</v>
      </c>
      <c r="BE19" s="128" t="s">
        <v>28</v>
      </c>
      <c r="BF19" s="128" t="s">
        <v>28</v>
      </c>
      <c r="BG19" s="80" t="s">
        <v>271</v>
      </c>
    </row>
    <row r="20" spans="1:59" ht="12.75" customHeight="1" x14ac:dyDescent="0.2">
      <c r="A20" s="5"/>
      <c r="B20" s="210" t="s">
        <v>203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1"/>
      <c r="AY20" s="8">
        <v>170</v>
      </c>
      <c r="AZ20" s="72" t="s">
        <v>184</v>
      </c>
      <c r="BA20" s="127">
        <f>BE20</f>
        <v>0</v>
      </c>
      <c r="BB20" s="128" t="s">
        <v>28</v>
      </c>
      <c r="BC20" s="128" t="s">
        <v>28</v>
      </c>
      <c r="BD20" s="128" t="s">
        <v>28</v>
      </c>
      <c r="BE20" s="128"/>
      <c r="BF20" s="128">
        <v>0</v>
      </c>
      <c r="BG20" s="80" t="s">
        <v>257</v>
      </c>
    </row>
    <row r="21" spans="1:59" s="89" customFormat="1" ht="19.5" hidden="1" customHeight="1" x14ac:dyDescent="0.2">
      <c r="A21" s="215" t="s">
        <v>190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7"/>
      <c r="AY21" s="101"/>
      <c r="AZ21" s="102" t="s">
        <v>191</v>
      </c>
      <c r="BA21" s="129"/>
      <c r="BB21" s="129"/>
      <c r="BC21" s="129"/>
      <c r="BD21" s="129"/>
      <c r="BE21" s="129">
        <v>0</v>
      </c>
      <c r="BF21" s="129"/>
      <c r="BG21" s="80"/>
    </row>
    <row r="22" spans="1:59" s="89" customFormat="1" ht="20.25" hidden="1" customHeight="1" x14ac:dyDescent="0.2">
      <c r="A22" s="215" t="s">
        <v>177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7"/>
      <c r="AY22" s="101"/>
      <c r="AZ22" s="102" t="s">
        <v>176</v>
      </c>
      <c r="BA22" s="129"/>
      <c r="BB22" s="129"/>
      <c r="BC22" s="129"/>
      <c r="BD22" s="129"/>
      <c r="BE22" s="129"/>
      <c r="BF22" s="129"/>
      <c r="BG22" s="80"/>
    </row>
    <row r="23" spans="1:59" ht="18.75" customHeight="1" x14ac:dyDescent="0.2">
      <c r="A23" s="5"/>
      <c r="B23" s="210" t="s">
        <v>31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1"/>
      <c r="AY23" s="8">
        <v>180</v>
      </c>
      <c r="AZ23" s="72" t="s">
        <v>48</v>
      </c>
      <c r="BA23" s="127">
        <f>BE23</f>
        <v>0</v>
      </c>
      <c r="BB23" s="128" t="s">
        <v>28</v>
      </c>
      <c r="BC23" s="128" t="s">
        <v>28</v>
      </c>
      <c r="BD23" s="128" t="s">
        <v>28</v>
      </c>
      <c r="BE23" s="128">
        <v>0</v>
      </c>
      <c r="BF23" s="128">
        <v>0</v>
      </c>
    </row>
    <row r="24" spans="1:59" ht="24.75" customHeight="1" x14ac:dyDescent="0.2">
      <c r="A24" s="3"/>
      <c r="B24" s="223" t="s">
        <v>34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4"/>
      <c r="AY24" s="11">
        <v>200</v>
      </c>
      <c r="AZ24" s="72" t="s">
        <v>28</v>
      </c>
      <c r="BA24" s="126">
        <f>BA25+BA44+BA47+BA64+BA66+BA67</f>
        <v>24819133.73</v>
      </c>
      <c r="BB24" s="126">
        <f>BB25+BB44+BB47+BB64+BB66+BB67</f>
        <v>21896646.240000002</v>
      </c>
      <c r="BC24" s="126">
        <f>BC25+BC44+BC47+BC64+BC66+BC67</f>
        <v>1230094.22</v>
      </c>
      <c r="BD24" s="126">
        <f>BD25+BD44+BD47+BD64+BD66+BD67</f>
        <v>0</v>
      </c>
      <c r="BE24" s="126">
        <f>BE25+BE44+BE47+BE64+BE66+BE67</f>
        <v>1692393.27</v>
      </c>
      <c r="BF24" s="126">
        <f>BF25+BF44+BF47+BF64+BF66+BF67</f>
        <v>0</v>
      </c>
      <c r="BG24" s="103"/>
    </row>
    <row r="25" spans="1:59" ht="44.25" customHeight="1" x14ac:dyDescent="0.2">
      <c r="A25" s="5"/>
      <c r="B25" s="218" t="s">
        <v>35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12">
        <v>210</v>
      </c>
      <c r="AZ25" s="72"/>
      <c r="BA25" s="127">
        <f>BA26+BA34+BA41</f>
        <v>18700369.98</v>
      </c>
      <c r="BB25" s="131">
        <f>BB26+BB34+BB41</f>
        <v>17992800.199999999</v>
      </c>
      <c r="BC25" s="131">
        <f>BC26+BC34+BC41</f>
        <v>16610</v>
      </c>
      <c r="BD25" s="131">
        <f>BD26+BD34+BD41</f>
        <v>0</v>
      </c>
      <c r="BE25" s="131">
        <f>BE26+BE34+BE41</f>
        <v>690959.78</v>
      </c>
      <c r="BF25" s="131">
        <f>BF26+BF34+BF41</f>
        <v>0</v>
      </c>
    </row>
    <row r="26" spans="1:59" ht="39.75" customHeight="1" x14ac:dyDescent="0.2">
      <c r="A26" s="5"/>
      <c r="B26" s="218" t="s">
        <v>36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9"/>
      <c r="AY26" s="12">
        <v>211</v>
      </c>
      <c r="AZ26" s="72"/>
      <c r="BA26" s="127">
        <f>BA27+BA31</f>
        <v>18551759.98</v>
      </c>
      <c r="BB26" s="131">
        <f>BB27+BB31</f>
        <v>17860800.199999999</v>
      </c>
      <c r="BC26" s="131">
        <f>BC27+BC31</f>
        <v>0</v>
      </c>
      <c r="BD26" s="131">
        <f>BD27+BD31</f>
        <v>0</v>
      </c>
      <c r="BE26" s="131">
        <f>BE27+BE31</f>
        <v>690959.78</v>
      </c>
      <c r="BF26" s="131">
        <f>BF27+BF31</f>
        <v>0</v>
      </c>
    </row>
    <row r="27" spans="1:59" ht="20.25" customHeight="1" x14ac:dyDescent="0.2">
      <c r="A27" s="6"/>
      <c r="B27" s="7"/>
      <c r="C27" s="210" t="s">
        <v>204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1"/>
      <c r="AY27" s="8"/>
      <c r="AZ27" s="72" t="s">
        <v>15</v>
      </c>
      <c r="BA27" s="127">
        <f>BB27+BC27+BD27+BE27</f>
        <v>14319596</v>
      </c>
      <c r="BB27" s="128">
        <f>BB28+BB30+BB29</f>
        <v>13788911</v>
      </c>
      <c r="BC27" s="128">
        <v>0</v>
      </c>
      <c r="BD27" s="128">
        <v>0</v>
      </c>
      <c r="BE27" s="128">
        <f>700000-169315</f>
        <v>530685</v>
      </c>
      <c r="BF27" s="128">
        <v>0</v>
      </c>
      <c r="BG27" s="80" t="s">
        <v>225</v>
      </c>
    </row>
    <row r="28" spans="1:59" s="89" customFormat="1" ht="12.75" hidden="1" customHeight="1" x14ac:dyDescent="0.2">
      <c r="A28" s="124"/>
      <c r="B28" s="125"/>
      <c r="C28" s="216" t="s">
        <v>227</v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7"/>
      <c r="AY28" s="101"/>
      <c r="AZ28" s="102"/>
      <c r="BA28" s="129"/>
      <c r="BB28" s="129">
        <f>13645100+113811</f>
        <v>13758911</v>
      </c>
      <c r="BC28" s="129"/>
      <c r="BD28" s="129"/>
      <c r="BE28" s="129"/>
      <c r="BF28" s="129"/>
      <c r="BG28" s="106"/>
    </row>
    <row r="29" spans="1:59" s="89" customFormat="1" ht="12.75" hidden="1" customHeight="1" x14ac:dyDescent="0.2">
      <c r="A29" s="124"/>
      <c r="B29" s="216" t="s">
        <v>236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7"/>
      <c r="AY29" s="101"/>
      <c r="AZ29" s="102"/>
      <c r="BA29" s="129"/>
      <c r="BB29" s="129">
        <v>30000</v>
      </c>
      <c r="BC29" s="129"/>
      <c r="BD29" s="129"/>
      <c r="BE29" s="129"/>
      <c r="BF29" s="129"/>
      <c r="BG29" s="106"/>
    </row>
    <row r="30" spans="1:59" s="89" customFormat="1" ht="12.75" hidden="1" customHeight="1" x14ac:dyDescent="0.2">
      <c r="A30" s="124"/>
      <c r="B30" s="125"/>
      <c r="C30" s="216" t="s">
        <v>168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7"/>
      <c r="AY30" s="101"/>
      <c r="AZ30" s="102"/>
      <c r="BA30" s="129"/>
      <c r="BB30" s="129"/>
      <c r="BC30" s="129"/>
      <c r="BD30" s="129"/>
      <c r="BE30" s="129"/>
      <c r="BF30" s="129"/>
      <c r="BG30" s="106"/>
    </row>
    <row r="31" spans="1:59" ht="51" customHeight="1" x14ac:dyDescent="0.2">
      <c r="A31" s="136"/>
      <c r="B31" s="148"/>
      <c r="C31" s="210" t="s">
        <v>205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1"/>
      <c r="AY31" s="8"/>
      <c r="AZ31" s="72" t="s">
        <v>16</v>
      </c>
      <c r="BA31" s="127">
        <f>BB31+BC31+BD31+BE31</f>
        <v>4232163.9800000004</v>
      </c>
      <c r="BB31" s="128">
        <f>BB32+BB33</f>
        <v>4071889.2</v>
      </c>
      <c r="BC31" s="128">
        <v>0</v>
      </c>
      <c r="BD31" s="128">
        <v>0</v>
      </c>
      <c r="BE31" s="128">
        <f>212000-51725.16-0.06</f>
        <v>160274.78</v>
      </c>
      <c r="BF31" s="128">
        <v>0</v>
      </c>
      <c r="BG31" s="80" t="s">
        <v>152</v>
      </c>
    </row>
    <row r="32" spans="1:59" s="89" customFormat="1" ht="17.25" hidden="1" customHeight="1" x14ac:dyDescent="0.2">
      <c r="A32" s="122"/>
      <c r="B32" s="216" t="str">
        <f>C28</f>
        <v>мз КОСГУ 211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7"/>
      <c r="AY32" s="101"/>
      <c r="AZ32" s="102"/>
      <c r="BA32" s="129"/>
      <c r="BB32" s="129">
        <f>4037900+33989.2</f>
        <v>4071889.2</v>
      </c>
      <c r="BC32" s="129"/>
      <c r="BD32" s="129"/>
      <c r="BE32" s="129"/>
      <c r="BF32" s="129"/>
      <c r="BG32" s="106"/>
    </row>
    <row r="33" spans="1:59" s="89" customFormat="1" ht="19.5" hidden="1" customHeight="1" x14ac:dyDescent="0.2">
      <c r="A33" s="122"/>
      <c r="B33" s="216" t="s">
        <v>168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7"/>
      <c r="AY33" s="101"/>
      <c r="AZ33" s="102"/>
      <c r="BA33" s="129"/>
      <c r="BB33" s="129"/>
      <c r="BC33" s="129"/>
      <c r="BD33" s="129"/>
      <c r="BE33" s="129"/>
      <c r="BF33" s="129"/>
      <c r="BG33" s="106"/>
    </row>
    <row r="34" spans="1:59" ht="28.5" customHeight="1" x14ac:dyDescent="0.2">
      <c r="A34" s="136"/>
      <c r="B34" s="148"/>
      <c r="C34" s="210" t="s">
        <v>210</v>
      </c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1"/>
      <c r="AY34" s="8"/>
      <c r="AZ34" s="72" t="s">
        <v>14</v>
      </c>
      <c r="BA34" s="127">
        <f>BB34+BC34+BD34+BE34</f>
        <v>62210</v>
      </c>
      <c r="BB34" s="128">
        <f>SUM(BB35:BB40)</f>
        <v>45600</v>
      </c>
      <c r="BC34" s="128">
        <f>SUM(BC35:BC40)</f>
        <v>16610</v>
      </c>
      <c r="BD34" s="128">
        <f>SUM(BD35:BD40)</f>
        <v>0</v>
      </c>
      <c r="BE34" s="128">
        <f>SUM(BE35:BE40)</f>
        <v>0</v>
      </c>
      <c r="BF34" s="128">
        <f>SUM(BF35:BF40)</f>
        <v>0</v>
      </c>
      <c r="BG34" s="80" t="s">
        <v>258</v>
      </c>
    </row>
    <row r="35" spans="1:59" s="89" customFormat="1" ht="21.75" hidden="1" customHeight="1" x14ac:dyDescent="0.2">
      <c r="A35" s="122"/>
      <c r="B35" s="216" t="s">
        <v>281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7"/>
      <c r="AY35" s="101"/>
      <c r="AZ35" s="102"/>
      <c r="BA35" s="129"/>
      <c r="BB35" s="129"/>
      <c r="BC35" s="129">
        <v>14000</v>
      </c>
      <c r="BD35" s="129"/>
      <c r="BE35" s="129"/>
      <c r="BF35" s="129"/>
      <c r="BG35" s="106"/>
    </row>
    <row r="36" spans="1:59" s="89" customFormat="1" ht="21.75" hidden="1" customHeight="1" x14ac:dyDescent="0.2">
      <c r="A36" s="122"/>
      <c r="B36" s="216" t="s">
        <v>280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7"/>
      <c r="AY36" s="101"/>
      <c r="AZ36" s="102"/>
      <c r="BA36" s="129"/>
      <c r="BB36" s="129"/>
      <c r="BC36" s="129">
        <v>2610</v>
      </c>
      <c r="BD36" s="129"/>
      <c r="BE36" s="129"/>
      <c r="BF36" s="129"/>
      <c r="BG36" s="106"/>
    </row>
    <row r="37" spans="1:59" s="89" customFormat="1" ht="28.5" hidden="1" customHeight="1" x14ac:dyDescent="0.2">
      <c r="A37" s="122"/>
      <c r="B37" s="216" t="s">
        <v>284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7"/>
      <c r="AY37" s="101"/>
      <c r="AZ37" s="102"/>
      <c r="BA37" s="129"/>
      <c r="BB37" s="129"/>
      <c r="BC37" s="129"/>
      <c r="BD37" s="129"/>
      <c r="BE37" s="129"/>
      <c r="BF37" s="129"/>
      <c r="BG37" s="252"/>
    </row>
    <row r="38" spans="1:59" s="89" customFormat="1" ht="28.5" hidden="1" customHeight="1" x14ac:dyDescent="0.2">
      <c r="A38" s="122"/>
      <c r="B38" s="216" t="s">
        <v>285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7"/>
      <c r="AY38" s="101"/>
      <c r="AZ38" s="102"/>
      <c r="BA38" s="129"/>
      <c r="BB38" s="129"/>
      <c r="BC38" s="129"/>
      <c r="BD38" s="129"/>
      <c r="BE38" s="129"/>
      <c r="BF38" s="129"/>
      <c r="BG38" s="252"/>
    </row>
    <row r="39" spans="1:59" s="89" customFormat="1" ht="26.25" hidden="1" customHeight="1" x14ac:dyDescent="0.2">
      <c r="A39" s="122"/>
      <c r="B39" s="216" t="s">
        <v>282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7"/>
      <c r="AY39" s="101"/>
      <c r="AZ39" s="102"/>
      <c r="BA39" s="129"/>
      <c r="BB39" s="129"/>
      <c r="BC39" s="129"/>
      <c r="BD39" s="129"/>
      <c r="BE39" s="129"/>
      <c r="BF39" s="129"/>
      <c r="BG39" s="252"/>
    </row>
    <row r="40" spans="1:59" s="89" customFormat="1" ht="24" hidden="1" customHeight="1" x14ac:dyDescent="0.2">
      <c r="A40" s="122"/>
      <c r="B40" s="216" t="s">
        <v>283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7"/>
      <c r="AY40" s="101"/>
      <c r="AZ40" s="102"/>
      <c r="BA40" s="129"/>
      <c r="BB40" s="129">
        <v>45600</v>
      </c>
      <c r="BC40" s="129"/>
      <c r="BD40" s="129"/>
      <c r="BE40" s="129"/>
      <c r="BF40" s="129"/>
      <c r="BG40" s="252"/>
    </row>
    <row r="41" spans="1:59" ht="50.25" customHeight="1" x14ac:dyDescent="0.2">
      <c r="A41" s="136"/>
      <c r="B41" s="148"/>
      <c r="C41" s="210" t="s">
        <v>211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1"/>
      <c r="AY41" s="8"/>
      <c r="AZ41" s="72" t="s">
        <v>20</v>
      </c>
      <c r="BA41" s="127">
        <f>BB41+BC41+BD41+BE41</f>
        <v>86400</v>
      </c>
      <c r="BB41" s="128">
        <f>BB42+BB43</f>
        <v>86400</v>
      </c>
      <c r="BC41" s="128">
        <v>0</v>
      </c>
      <c r="BD41" s="128">
        <v>0</v>
      </c>
      <c r="BE41" s="128"/>
      <c r="BF41" s="128">
        <v>0</v>
      </c>
    </row>
    <row r="42" spans="1:59" s="89" customFormat="1" ht="21.75" hidden="1" customHeight="1" x14ac:dyDescent="0.2">
      <c r="A42" s="122"/>
      <c r="B42" s="216" t="s">
        <v>234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7"/>
      <c r="AY42" s="101"/>
      <c r="AZ42" s="102"/>
      <c r="BA42" s="129"/>
      <c r="BB42" s="129">
        <v>86400</v>
      </c>
      <c r="BC42" s="129"/>
      <c r="BD42" s="129"/>
      <c r="BE42" s="129"/>
      <c r="BF42" s="129"/>
      <c r="BG42" s="106"/>
    </row>
    <row r="43" spans="1:59" s="89" customFormat="1" ht="21.75" hidden="1" customHeight="1" x14ac:dyDescent="0.2">
      <c r="A43" s="122"/>
      <c r="B43" s="216" t="s">
        <v>228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7"/>
      <c r="AY43" s="101"/>
      <c r="AZ43" s="102"/>
      <c r="BA43" s="129"/>
      <c r="BB43" s="129"/>
      <c r="BC43" s="129"/>
      <c r="BD43" s="129"/>
      <c r="BE43" s="129"/>
      <c r="BF43" s="129"/>
      <c r="BG43" s="106"/>
    </row>
    <row r="44" spans="1:59" ht="24" customHeight="1" x14ac:dyDescent="0.2">
      <c r="A44" s="5"/>
      <c r="B44" s="218" t="s">
        <v>37</v>
      </c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12">
        <v>220</v>
      </c>
      <c r="AZ44" s="72"/>
      <c r="BA44" s="127">
        <f>BA46</f>
        <v>0</v>
      </c>
      <c r="BB44" s="131">
        <f t="shared" ref="BB44:BF44" si="0">BB46</f>
        <v>0</v>
      </c>
      <c r="BC44" s="131">
        <f t="shared" si="0"/>
        <v>0</v>
      </c>
      <c r="BD44" s="131">
        <f t="shared" si="0"/>
        <v>0</v>
      </c>
      <c r="BE44" s="131">
        <f t="shared" si="0"/>
        <v>0</v>
      </c>
      <c r="BF44" s="131">
        <f t="shared" si="0"/>
        <v>0</v>
      </c>
    </row>
    <row r="45" spans="1:59" ht="12.75" customHeight="1" x14ac:dyDescent="0.2">
      <c r="A45" s="6"/>
      <c r="B45" s="7"/>
      <c r="C45" s="210" t="s">
        <v>12</v>
      </c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1"/>
      <c r="AY45" s="8"/>
      <c r="AZ45" s="72"/>
      <c r="BA45" s="127"/>
      <c r="BB45" s="128"/>
      <c r="BC45" s="128"/>
      <c r="BD45" s="128"/>
      <c r="BE45" s="128"/>
      <c r="BF45" s="128"/>
    </row>
    <row r="46" spans="1:59" ht="14.25" customHeight="1" x14ac:dyDescent="0.2">
      <c r="A46" s="136"/>
      <c r="B46" s="148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1"/>
      <c r="AY46" s="8"/>
      <c r="AZ46" s="72" t="s">
        <v>17</v>
      </c>
      <c r="BA46" s="127">
        <f>BB46+BC46+BD46+BE46</f>
        <v>0</v>
      </c>
      <c r="BB46" s="128">
        <v>0</v>
      </c>
      <c r="BC46" s="128">
        <v>0</v>
      </c>
      <c r="BD46" s="128">
        <v>0</v>
      </c>
      <c r="BE46" s="128">
        <v>0</v>
      </c>
      <c r="BF46" s="128">
        <v>0</v>
      </c>
    </row>
    <row r="47" spans="1:59" ht="12.75" customHeight="1" x14ac:dyDescent="0.2">
      <c r="A47" s="136"/>
      <c r="B47" s="148"/>
      <c r="C47" s="218" t="s">
        <v>38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9"/>
      <c r="AY47" s="12">
        <v>230</v>
      </c>
      <c r="AZ47" s="72"/>
      <c r="BA47" s="127">
        <f t="shared" ref="BA47:BF47" si="1">BA53+BA56+BA60+BA49</f>
        <v>243535.35999999999</v>
      </c>
      <c r="BB47" s="131">
        <f t="shared" si="1"/>
        <v>180769.62</v>
      </c>
      <c r="BC47" s="131">
        <f t="shared" si="1"/>
        <v>61765.74</v>
      </c>
      <c r="BD47" s="131">
        <f t="shared" si="1"/>
        <v>0</v>
      </c>
      <c r="BE47" s="131">
        <f t="shared" si="1"/>
        <v>1000</v>
      </c>
      <c r="BF47" s="131">
        <f t="shared" si="1"/>
        <v>0</v>
      </c>
    </row>
    <row r="48" spans="1:59" ht="18" customHeight="1" x14ac:dyDescent="0.2">
      <c r="A48" s="136"/>
      <c r="B48" s="148"/>
      <c r="C48" s="210" t="s">
        <v>12</v>
      </c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1"/>
      <c r="AY48" s="8"/>
      <c r="AZ48" s="72"/>
      <c r="BA48" s="127"/>
      <c r="BB48" s="128"/>
      <c r="BC48" s="128"/>
      <c r="BD48" s="128"/>
      <c r="BE48" s="128"/>
      <c r="BF48" s="128"/>
    </row>
    <row r="49" spans="1:63" ht="36.75" customHeight="1" x14ac:dyDescent="0.2">
      <c r="A49" s="249" t="s">
        <v>206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1"/>
      <c r="AY49" s="8"/>
      <c r="AZ49" s="72" t="s">
        <v>144</v>
      </c>
      <c r="BA49" s="127">
        <f>BB49+BC49+BD49+BE49</f>
        <v>61765.74</v>
      </c>
      <c r="BB49" s="128"/>
      <c r="BC49" s="128">
        <f>BC50+BC52+BC51</f>
        <v>61765.74</v>
      </c>
      <c r="BD49" s="128">
        <v>0</v>
      </c>
      <c r="BE49" s="128">
        <f>BE50+BE51+BE52</f>
        <v>0</v>
      </c>
      <c r="BF49" s="128">
        <v>0</v>
      </c>
      <c r="BG49" s="80" t="s">
        <v>187</v>
      </c>
    </row>
    <row r="50" spans="1:63" s="89" customFormat="1" ht="27.75" hidden="1" customHeight="1" x14ac:dyDescent="0.2">
      <c r="A50" s="220" t="s">
        <v>259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2"/>
      <c r="AY50" s="101"/>
      <c r="AZ50" s="102"/>
      <c r="BA50" s="129"/>
      <c r="BB50" s="129"/>
      <c r="BC50" s="129">
        <f>23521</f>
        <v>23521</v>
      </c>
      <c r="BD50" s="129"/>
      <c r="BE50" s="129"/>
      <c r="BF50" s="129"/>
      <c r="BG50" s="106"/>
    </row>
    <row r="51" spans="1:63" s="89" customFormat="1" ht="16.5" hidden="1" customHeight="1" x14ac:dyDescent="0.2">
      <c r="A51" s="215" t="s">
        <v>260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7"/>
      <c r="AY51" s="101"/>
      <c r="AZ51" s="102"/>
      <c r="BA51" s="129"/>
      <c r="BB51" s="129"/>
      <c r="BC51" s="129">
        <f>38244.74</f>
        <v>38244.74</v>
      </c>
      <c r="BD51" s="129"/>
      <c r="BE51" s="129"/>
      <c r="BF51" s="129"/>
      <c r="BG51" s="106"/>
    </row>
    <row r="52" spans="1:63" s="89" customFormat="1" ht="16.5" hidden="1" customHeight="1" x14ac:dyDescent="0.2">
      <c r="A52" s="215" t="s">
        <v>265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7"/>
      <c r="AY52" s="101"/>
      <c r="AZ52" s="102"/>
      <c r="BA52" s="129"/>
      <c r="BB52" s="129"/>
      <c r="BC52" s="129"/>
      <c r="BD52" s="129"/>
      <c r="BE52" s="129"/>
      <c r="BF52" s="129"/>
      <c r="BG52" s="106"/>
    </row>
    <row r="53" spans="1:63" ht="28.5" customHeight="1" x14ac:dyDescent="0.2">
      <c r="A53" s="135"/>
      <c r="B53" s="210" t="s">
        <v>207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1"/>
      <c r="AY53" s="8"/>
      <c r="AZ53" s="72" t="s">
        <v>21</v>
      </c>
      <c r="BA53" s="127">
        <f>BB53+BC53+BD53+BE53</f>
        <v>155955.62</v>
      </c>
      <c r="BB53" s="128">
        <f>SUM(BB54:BB55)</f>
        <v>155955.62</v>
      </c>
      <c r="BC53" s="128">
        <v>0</v>
      </c>
      <c r="BD53" s="128">
        <v>0</v>
      </c>
      <c r="BE53" s="128">
        <v>0</v>
      </c>
      <c r="BF53" s="128">
        <v>0</v>
      </c>
      <c r="BG53" s="80" t="s">
        <v>286</v>
      </c>
    </row>
    <row r="54" spans="1:63" s="89" customFormat="1" ht="12.75" hidden="1" customHeight="1" x14ac:dyDescent="0.2">
      <c r="A54" s="212" t="s">
        <v>230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4"/>
      <c r="AY54" s="101"/>
      <c r="AZ54" s="102"/>
      <c r="BA54" s="129"/>
      <c r="BB54" s="129">
        <v>102456</v>
      </c>
      <c r="BC54" s="129"/>
      <c r="BD54" s="129"/>
      <c r="BE54" s="129"/>
      <c r="BF54" s="129"/>
      <c r="BG54" s="106"/>
    </row>
    <row r="55" spans="1:63" s="89" customFormat="1" ht="12.75" hidden="1" customHeight="1" x14ac:dyDescent="0.2">
      <c r="A55" s="212" t="s">
        <v>229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4"/>
      <c r="AY55" s="101"/>
      <c r="AZ55" s="102"/>
      <c r="BA55" s="129"/>
      <c r="BB55" s="129">
        <f>53499.62</f>
        <v>53499.62</v>
      </c>
      <c r="BC55" s="129"/>
      <c r="BD55" s="129"/>
      <c r="BE55" s="129"/>
      <c r="BF55" s="129"/>
      <c r="BG55" s="106"/>
    </row>
    <row r="56" spans="1:63" ht="12.75" customHeight="1" x14ac:dyDescent="0.2">
      <c r="A56" s="6"/>
      <c r="B56" s="7"/>
      <c r="C56" s="210" t="s">
        <v>212</v>
      </c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1"/>
      <c r="AY56" s="8"/>
      <c r="AZ56" s="72" t="s">
        <v>18</v>
      </c>
      <c r="BA56" s="127">
        <f>BB56+BC56+BD56+BE56</f>
        <v>24814</v>
      </c>
      <c r="BB56" s="128">
        <f>BB57+BB58+BB59</f>
        <v>24814</v>
      </c>
      <c r="BC56" s="128">
        <v>0</v>
      </c>
      <c r="BD56" s="128">
        <v>0</v>
      </c>
      <c r="BE56" s="128">
        <f>SUM(BE57:BE59)</f>
        <v>0</v>
      </c>
      <c r="BF56" s="128">
        <v>0</v>
      </c>
      <c r="BG56" s="80" t="s">
        <v>286</v>
      </c>
    </row>
    <row r="57" spans="1:63" s="89" customFormat="1" ht="12.75" hidden="1" customHeight="1" x14ac:dyDescent="0.2">
      <c r="A57" s="212" t="s">
        <v>231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4"/>
      <c r="AY57" s="101"/>
      <c r="AZ57" s="102"/>
      <c r="BA57" s="129"/>
      <c r="BB57" s="129">
        <v>1451</v>
      </c>
      <c r="BC57" s="129"/>
      <c r="BD57" s="129"/>
      <c r="BE57" s="129"/>
      <c r="BF57" s="129"/>
      <c r="BG57" s="106"/>
    </row>
    <row r="58" spans="1:63" s="89" customFormat="1" ht="17.25" hidden="1" customHeight="1" x14ac:dyDescent="0.2">
      <c r="A58" s="212" t="s">
        <v>232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4"/>
      <c r="AY58" s="101"/>
      <c r="AZ58" s="102"/>
      <c r="BA58" s="129"/>
      <c r="BB58" s="129">
        <v>23000</v>
      </c>
      <c r="BC58" s="129"/>
      <c r="BD58" s="129"/>
      <c r="BE58" s="129"/>
      <c r="BF58" s="129"/>
      <c r="BG58" s="106"/>
    </row>
    <row r="59" spans="1:63" s="89" customFormat="1" ht="12.75" hidden="1" customHeight="1" x14ac:dyDescent="0.2">
      <c r="A59" s="212" t="s">
        <v>233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4"/>
      <c r="AY59" s="101"/>
      <c r="AZ59" s="102"/>
      <c r="BA59" s="129"/>
      <c r="BB59" s="129">
        <f>363</f>
        <v>363</v>
      </c>
      <c r="BC59" s="129"/>
      <c r="BD59" s="129"/>
      <c r="BE59" s="129">
        <f>2000+7000-2400-3850-2750</f>
        <v>0</v>
      </c>
      <c r="BF59" s="129"/>
      <c r="BG59" s="106"/>
    </row>
    <row r="60" spans="1:63" ht="12.75" x14ac:dyDescent="0.2">
      <c r="A60" s="136"/>
      <c r="B60" s="148"/>
      <c r="C60" s="210" t="s">
        <v>213</v>
      </c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1"/>
      <c r="AY60" s="8"/>
      <c r="AZ60" s="72" t="s">
        <v>19</v>
      </c>
      <c r="BA60" s="127">
        <f t="shared" ref="BA60" si="2">BB60+BC60+BD60+BE60</f>
        <v>1000</v>
      </c>
      <c r="BB60" s="128">
        <f>SUM(BB61:BB63)</f>
        <v>0</v>
      </c>
      <c r="BC60" s="128">
        <v>0</v>
      </c>
      <c r="BD60" s="128">
        <v>0</v>
      </c>
      <c r="BE60" s="128">
        <f>SUM(BE61:BE63)</f>
        <v>1000</v>
      </c>
      <c r="BF60" s="128">
        <v>0</v>
      </c>
      <c r="BG60" s="253" t="s">
        <v>262</v>
      </c>
      <c r="BH60" s="254"/>
      <c r="BI60" s="254"/>
      <c r="BJ60" s="254"/>
      <c r="BK60" s="254"/>
    </row>
    <row r="61" spans="1:63" s="89" customFormat="1" ht="30" hidden="1" customHeight="1" x14ac:dyDescent="0.2">
      <c r="A61" s="212" t="s">
        <v>266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4"/>
      <c r="AY61" s="101"/>
      <c r="AZ61" s="102"/>
      <c r="BA61" s="129"/>
      <c r="BB61" s="129"/>
      <c r="BC61" s="129"/>
      <c r="BD61" s="129"/>
      <c r="BE61" s="129"/>
      <c r="BF61" s="129"/>
      <c r="BG61" s="106" t="s">
        <v>267</v>
      </c>
    </row>
    <row r="62" spans="1:63" s="89" customFormat="1" ht="30" hidden="1" customHeight="1" x14ac:dyDescent="0.2">
      <c r="A62" s="212" t="s">
        <v>254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4"/>
      <c r="AY62" s="101"/>
      <c r="AZ62" s="102"/>
      <c r="BA62" s="129"/>
      <c r="BB62" s="129"/>
      <c r="BC62" s="129"/>
      <c r="BD62" s="129"/>
      <c r="BE62" s="129">
        <v>1000</v>
      </c>
      <c r="BF62" s="129"/>
      <c r="BG62" s="106" t="s">
        <v>253</v>
      </c>
    </row>
    <row r="63" spans="1:63" s="89" customFormat="1" ht="12.75" hidden="1" customHeight="1" x14ac:dyDescent="0.2">
      <c r="A63" s="212" t="s">
        <v>264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4"/>
      <c r="AY63" s="101"/>
      <c r="AZ63" s="102"/>
      <c r="BA63" s="129"/>
      <c r="BB63" s="129">
        <f>6290.89-6290.89</f>
        <v>0</v>
      </c>
      <c r="BC63" s="129"/>
      <c r="BD63" s="129"/>
      <c r="BE63" s="129"/>
      <c r="BF63" s="129"/>
      <c r="BG63" s="106" t="s">
        <v>263</v>
      </c>
    </row>
    <row r="64" spans="1:63" ht="12.75" customHeight="1" x14ac:dyDescent="0.2">
      <c r="A64" s="136"/>
      <c r="B64" s="148"/>
      <c r="C64" s="218" t="s">
        <v>39</v>
      </c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9"/>
      <c r="AY64" s="12">
        <v>240</v>
      </c>
      <c r="AZ64" s="72"/>
      <c r="BA64" s="127"/>
      <c r="BB64" s="131"/>
      <c r="BC64" s="131"/>
      <c r="BD64" s="131"/>
      <c r="BE64" s="131"/>
      <c r="BF64" s="131"/>
    </row>
    <row r="65" spans="1:59" ht="12.75" customHeight="1" x14ac:dyDescent="0.2">
      <c r="A65" s="136"/>
      <c r="B65" s="148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1"/>
      <c r="AY65" s="8"/>
      <c r="AZ65" s="72"/>
      <c r="BA65" s="127"/>
      <c r="BB65" s="128"/>
      <c r="BC65" s="128"/>
      <c r="BD65" s="128"/>
      <c r="BE65" s="128"/>
      <c r="BF65" s="128"/>
    </row>
    <row r="66" spans="1:59" ht="12.75" customHeight="1" x14ac:dyDescent="0.2">
      <c r="A66" s="136"/>
      <c r="B66" s="148"/>
      <c r="C66" s="218" t="s">
        <v>40</v>
      </c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9"/>
      <c r="AY66" s="12">
        <v>250</v>
      </c>
      <c r="AZ66" s="72" t="s">
        <v>49</v>
      </c>
      <c r="BA66" s="127">
        <f>BD66</f>
        <v>0</v>
      </c>
      <c r="BB66" s="131">
        <v>0</v>
      </c>
      <c r="BC66" s="131">
        <v>0</v>
      </c>
      <c r="BD66" s="131">
        <v>0</v>
      </c>
      <c r="BE66" s="131">
        <v>0</v>
      </c>
      <c r="BF66" s="131">
        <v>0</v>
      </c>
      <c r="BG66" s="80" t="s">
        <v>50</v>
      </c>
    </row>
    <row r="67" spans="1:59" ht="15.75" customHeight="1" x14ac:dyDescent="0.2">
      <c r="A67" s="5"/>
      <c r="B67" s="218" t="s">
        <v>214</v>
      </c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9"/>
      <c r="AY67" s="12">
        <v>260</v>
      </c>
      <c r="AZ67" s="72" t="s">
        <v>13</v>
      </c>
      <c r="BA67" s="127">
        <f>BB67+BC67+BD67+BE67</f>
        <v>5875228.3900000006</v>
      </c>
      <c r="BB67" s="131">
        <f>SUM(BB68:BB104)</f>
        <v>3723076.4200000004</v>
      </c>
      <c r="BC67" s="131">
        <f>SUM(BC68:BC128)</f>
        <v>1151718.48</v>
      </c>
      <c r="BD67" s="131">
        <v>0</v>
      </c>
      <c r="BE67" s="131">
        <f>SUM(BE68:BE128)</f>
        <v>1000433.49</v>
      </c>
      <c r="BF67" s="131">
        <v>0</v>
      </c>
    </row>
    <row r="68" spans="1:59" s="89" customFormat="1" ht="12.75" hidden="1" customHeight="1" x14ac:dyDescent="0.2">
      <c r="A68" s="215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7"/>
      <c r="AY68" s="255">
        <v>4000</v>
      </c>
      <c r="AZ68" s="102" t="s">
        <v>153</v>
      </c>
      <c r="BA68" s="129"/>
      <c r="BB68" s="129">
        <v>44400</v>
      </c>
      <c r="BC68" s="129"/>
      <c r="BD68" s="129"/>
      <c r="BE68" s="129"/>
      <c r="BF68" s="129"/>
      <c r="BG68" s="245" t="s">
        <v>145</v>
      </c>
    </row>
    <row r="69" spans="1:59" s="89" customFormat="1" ht="12.75" hidden="1" customHeight="1" x14ac:dyDescent="0.2">
      <c r="A69" s="215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7"/>
      <c r="AY69" s="256"/>
      <c r="AZ69" s="102" t="s">
        <v>154</v>
      </c>
      <c r="BA69" s="129"/>
      <c r="BB69" s="129">
        <f>1201844</f>
        <v>1201844</v>
      </c>
      <c r="BC69" s="129"/>
      <c r="BD69" s="129"/>
      <c r="BE69" s="129"/>
      <c r="BF69" s="129"/>
      <c r="BG69" s="245"/>
    </row>
    <row r="70" spans="1:59" s="89" customFormat="1" ht="12.75" hidden="1" customHeight="1" x14ac:dyDescent="0.2">
      <c r="A70" s="215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7"/>
      <c r="AY70" s="256"/>
      <c r="AZ70" s="102" t="s">
        <v>155</v>
      </c>
      <c r="BA70" s="129"/>
      <c r="BB70" s="129">
        <f>611240</f>
        <v>611240</v>
      </c>
      <c r="BC70" s="129"/>
      <c r="BD70" s="129"/>
      <c r="BE70" s="129"/>
      <c r="BF70" s="129"/>
      <c r="BG70" s="245"/>
    </row>
    <row r="71" spans="1:59" s="89" customFormat="1" ht="12.75" hidden="1" customHeight="1" x14ac:dyDescent="0.2">
      <c r="A71" s="215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7"/>
      <c r="AY71" s="256"/>
      <c r="AZ71" s="102" t="s">
        <v>156</v>
      </c>
      <c r="BA71" s="129"/>
      <c r="BB71" s="129">
        <f>42175</f>
        <v>42175</v>
      </c>
      <c r="BC71" s="129"/>
      <c r="BD71" s="129"/>
      <c r="BE71" s="129"/>
      <c r="BF71" s="129"/>
      <c r="BG71" s="245"/>
    </row>
    <row r="72" spans="1:59" s="89" customFormat="1" ht="12.75" hidden="1" customHeight="1" x14ac:dyDescent="0.2">
      <c r="A72" s="158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60"/>
      <c r="AY72" s="256"/>
      <c r="AZ72" s="102" t="s">
        <v>237</v>
      </c>
      <c r="BA72" s="129"/>
      <c r="BB72" s="129">
        <v>21409.72</v>
      </c>
      <c r="BC72" s="129"/>
      <c r="BD72" s="129"/>
      <c r="BE72" s="129"/>
      <c r="BF72" s="129"/>
      <c r="BG72" s="245"/>
    </row>
    <row r="73" spans="1:59" s="89" customFormat="1" ht="12.75" hidden="1" customHeight="1" x14ac:dyDescent="0.2">
      <c r="A73" s="215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7"/>
      <c r="AY73" s="256"/>
      <c r="AZ73" s="102" t="s">
        <v>157</v>
      </c>
      <c r="BA73" s="129"/>
      <c r="BB73" s="129">
        <f>438793+71952.21</f>
        <v>510745.21</v>
      </c>
      <c r="BC73" s="129"/>
      <c r="BD73" s="129"/>
      <c r="BE73" s="129"/>
      <c r="BF73" s="129"/>
      <c r="BG73" s="245"/>
    </row>
    <row r="74" spans="1:59" s="89" customFormat="1" ht="12.75" hidden="1" customHeight="1" x14ac:dyDescent="0.2">
      <c r="A74" s="215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7"/>
      <c r="AY74" s="256"/>
      <c r="AZ74" s="102" t="s">
        <v>158</v>
      </c>
      <c r="BA74" s="129"/>
      <c r="BB74" s="129">
        <f>662858-56239.22</f>
        <v>606618.78</v>
      </c>
      <c r="BC74" s="129"/>
      <c r="BD74" s="129"/>
      <c r="BE74" s="129"/>
      <c r="BF74" s="129"/>
      <c r="BG74" s="245"/>
    </row>
    <row r="75" spans="1:59" s="89" customFormat="1" ht="12.75" hidden="1" customHeight="1" x14ac:dyDescent="0.2">
      <c r="A75" s="215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7"/>
      <c r="AY75" s="256"/>
      <c r="AZ75" s="102" t="s">
        <v>223</v>
      </c>
      <c r="BA75" s="129"/>
      <c r="BB75" s="129"/>
      <c r="BC75" s="129"/>
      <c r="BD75" s="129"/>
      <c r="BE75" s="129"/>
      <c r="BF75" s="129"/>
      <c r="BG75" s="245"/>
    </row>
    <row r="76" spans="1:59" s="89" customFormat="1" ht="12.75" hidden="1" customHeight="1" x14ac:dyDescent="0.2">
      <c r="A76" s="215"/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7"/>
      <c r="AY76" s="256"/>
      <c r="AZ76" s="102" t="s">
        <v>222</v>
      </c>
      <c r="BA76" s="129"/>
      <c r="BB76" s="129">
        <f>57924-26049</f>
        <v>31875</v>
      </c>
      <c r="BC76" s="129"/>
      <c r="BD76" s="129"/>
      <c r="BE76" s="129"/>
      <c r="BF76" s="129"/>
      <c r="BG76" s="245"/>
    </row>
    <row r="77" spans="1:59" s="89" customFormat="1" ht="12.75" hidden="1" customHeight="1" x14ac:dyDescent="0.2">
      <c r="A77" s="215"/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7"/>
      <c r="AY77" s="256"/>
      <c r="AZ77" s="102" t="s">
        <v>221</v>
      </c>
      <c r="BA77" s="129"/>
      <c r="BB77" s="129"/>
      <c r="BC77" s="129"/>
      <c r="BD77" s="129"/>
      <c r="BE77" s="129"/>
      <c r="BF77" s="129"/>
      <c r="BG77" s="245"/>
    </row>
    <row r="78" spans="1:59" s="89" customFormat="1" ht="12.75" hidden="1" customHeight="1" x14ac:dyDescent="0.2">
      <c r="A78" s="215"/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7"/>
      <c r="AY78" s="256"/>
      <c r="AZ78" s="102" t="s">
        <v>224</v>
      </c>
      <c r="BA78" s="129"/>
      <c r="BB78" s="129">
        <f>4500-3337</f>
        <v>1163</v>
      </c>
      <c r="BC78" s="129"/>
      <c r="BD78" s="129"/>
      <c r="BE78" s="129"/>
      <c r="BF78" s="129"/>
      <c r="BG78" s="245"/>
    </row>
    <row r="79" spans="1:59" s="89" customFormat="1" ht="12.75" hidden="1" customHeight="1" x14ac:dyDescent="0.2">
      <c r="A79" s="215"/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7"/>
      <c r="AY79" s="256"/>
      <c r="AZ79" s="102" t="s">
        <v>195</v>
      </c>
      <c r="BA79" s="129"/>
      <c r="BB79" s="129">
        <f>51531-7736.71</f>
        <v>43794.29</v>
      </c>
      <c r="BC79" s="129"/>
      <c r="BD79" s="129"/>
      <c r="BE79" s="129"/>
      <c r="BF79" s="129"/>
      <c r="BG79" s="245"/>
    </row>
    <row r="80" spans="1:59" s="89" customFormat="1" ht="12.75" hidden="1" customHeight="1" x14ac:dyDescent="0.2">
      <c r="A80" s="215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7"/>
      <c r="AY80" s="256"/>
      <c r="AZ80" s="102" t="s">
        <v>220</v>
      </c>
      <c r="BA80" s="129"/>
      <c r="BB80" s="129">
        <v>0</v>
      </c>
      <c r="BC80" s="129"/>
      <c r="BD80" s="129"/>
      <c r="BE80" s="129"/>
      <c r="BF80" s="129"/>
      <c r="BG80" s="245"/>
    </row>
    <row r="81" spans="1:60" s="89" customFormat="1" ht="12.75" hidden="1" customHeight="1" x14ac:dyDescent="0.2">
      <c r="A81" s="215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7"/>
      <c r="AY81" s="256"/>
      <c r="AZ81" s="102"/>
      <c r="BA81" s="129"/>
      <c r="BB81" s="129"/>
      <c r="BC81" s="129"/>
      <c r="BD81" s="129"/>
      <c r="BE81" s="129"/>
      <c r="BF81" s="129"/>
      <c r="BG81" s="245"/>
    </row>
    <row r="82" spans="1:60" s="89" customFormat="1" ht="12.75" hidden="1" customHeight="1" x14ac:dyDescent="0.2">
      <c r="A82" s="215"/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7"/>
      <c r="AY82" s="256"/>
      <c r="AZ82" s="102"/>
      <c r="BA82" s="129"/>
      <c r="BB82" s="129"/>
      <c r="BC82" s="129"/>
      <c r="BD82" s="129"/>
      <c r="BE82" s="129"/>
      <c r="BF82" s="129"/>
      <c r="BG82" s="245"/>
    </row>
    <row r="83" spans="1:60" s="89" customFormat="1" ht="12.75" hidden="1" customHeight="1" x14ac:dyDescent="0.2">
      <c r="A83" s="215"/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7"/>
      <c r="AY83" s="264">
        <v>4199</v>
      </c>
      <c r="AZ83" s="102" t="s">
        <v>153</v>
      </c>
      <c r="BA83" s="129"/>
      <c r="BB83" s="129"/>
      <c r="BC83" s="129"/>
      <c r="BD83" s="129"/>
      <c r="BE83" s="129"/>
      <c r="BF83" s="129"/>
      <c r="BG83" s="245"/>
    </row>
    <row r="84" spans="1:60" s="89" customFormat="1" ht="12.75" hidden="1" customHeight="1" x14ac:dyDescent="0.2">
      <c r="A84" s="215"/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7"/>
      <c r="AY84" s="264"/>
      <c r="AZ84" s="102" t="s">
        <v>154</v>
      </c>
      <c r="BA84" s="129"/>
      <c r="BB84" s="129">
        <f>146287.39-145734.21</f>
        <v>553.18000000002212</v>
      </c>
      <c r="BC84" s="129"/>
      <c r="BD84" s="129"/>
      <c r="BE84" s="129"/>
      <c r="BF84" s="129"/>
      <c r="BG84" s="245"/>
      <c r="BH84" s="137"/>
    </row>
    <row r="85" spans="1:60" s="89" customFormat="1" ht="12.75" hidden="1" customHeight="1" x14ac:dyDescent="0.2">
      <c r="A85" s="215"/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7"/>
      <c r="AY85" s="264"/>
      <c r="AZ85" s="102" t="s">
        <v>155</v>
      </c>
      <c r="BA85" s="129"/>
      <c r="BB85" s="129">
        <f>434541.07-434541.07</f>
        <v>0</v>
      </c>
      <c r="BC85" s="129"/>
      <c r="BD85" s="129"/>
      <c r="BE85" s="129"/>
      <c r="BF85" s="129"/>
      <c r="BG85" s="245"/>
    </row>
    <row r="86" spans="1:60" s="89" customFormat="1" ht="12.75" hidden="1" customHeight="1" x14ac:dyDescent="0.2">
      <c r="A86" s="215"/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7"/>
      <c r="AY86" s="264"/>
      <c r="AZ86" s="102" t="s">
        <v>156</v>
      </c>
      <c r="BA86" s="129"/>
      <c r="BB86" s="129">
        <f>26982.96-24543.3</f>
        <v>2439.66</v>
      </c>
      <c r="BC86" s="129"/>
      <c r="BD86" s="129"/>
      <c r="BE86" s="129"/>
      <c r="BF86" s="129"/>
      <c r="BG86" s="245"/>
    </row>
    <row r="87" spans="1:60" s="89" customFormat="1" ht="12.75" hidden="1" customHeight="1" x14ac:dyDescent="0.2">
      <c r="A87" s="132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4"/>
      <c r="AY87" s="264"/>
      <c r="AZ87" s="102" t="s">
        <v>157</v>
      </c>
      <c r="BA87" s="129"/>
      <c r="BB87" s="129">
        <v>344541.58</v>
      </c>
      <c r="BC87" s="129"/>
      <c r="BD87" s="129"/>
      <c r="BE87" s="129"/>
      <c r="BF87" s="129"/>
      <c r="BG87" s="245"/>
    </row>
    <row r="88" spans="1:60" s="89" customFormat="1" ht="12.75" hidden="1" customHeight="1" x14ac:dyDescent="0.2">
      <c r="A88" s="132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4"/>
      <c r="AY88" s="264"/>
      <c r="AZ88" s="102" t="s">
        <v>158</v>
      </c>
      <c r="BA88" s="129"/>
      <c r="BB88" s="129">
        <v>218000</v>
      </c>
      <c r="BC88" s="129"/>
      <c r="BD88" s="129"/>
      <c r="BE88" s="129"/>
      <c r="BF88" s="129"/>
      <c r="BG88" s="245"/>
    </row>
    <row r="89" spans="1:60" s="89" customFormat="1" ht="12.75" hidden="1" customHeight="1" x14ac:dyDescent="0.2">
      <c r="A89" s="132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4"/>
      <c r="AY89" s="264"/>
      <c r="AZ89" s="102" t="s">
        <v>195</v>
      </c>
      <c r="BA89" s="129"/>
      <c r="BB89" s="129">
        <v>42277</v>
      </c>
      <c r="BC89" s="129"/>
      <c r="BD89" s="129"/>
      <c r="BE89" s="129"/>
      <c r="BF89" s="129"/>
      <c r="BG89" s="245"/>
    </row>
    <row r="90" spans="1:60" s="89" customFormat="1" ht="12.75" hidden="1" customHeight="1" x14ac:dyDescent="0.2">
      <c r="A90" s="132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4"/>
      <c r="AY90" s="264"/>
      <c r="AZ90" s="102" t="s">
        <v>222</v>
      </c>
      <c r="BA90" s="129"/>
      <c r="BB90" s="129"/>
      <c r="BC90" s="129"/>
      <c r="BD90" s="129"/>
      <c r="BE90" s="129"/>
      <c r="BF90" s="129"/>
      <c r="BG90" s="245"/>
    </row>
    <row r="91" spans="1:60" s="89" customFormat="1" ht="12.75" hidden="1" customHeight="1" x14ac:dyDescent="0.2">
      <c r="A91" s="138"/>
      <c r="B91" s="261" t="s">
        <v>268</v>
      </c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2"/>
      <c r="AJ91" s="262"/>
      <c r="AK91" s="262"/>
      <c r="AL91" s="262"/>
      <c r="AM91" s="262"/>
      <c r="AN91" s="262"/>
      <c r="AO91" s="262"/>
      <c r="AP91" s="262"/>
      <c r="AQ91" s="262"/>
      <c r="AR91" s="262"/>
      <c r="AS91" s="262"/>
      <c r="AT91" s="262"/>
      <c r="AU91" s="262"/>
      <c r="AV91" s="262"/>
      <c r="AW91" s="262"/>
      <c r="AX91" s="263"/>
      <c r="AY91" s="264"/>
      <c r="AZ91" s="102" t="s">
        <v>163</v>
      </c>
      <c r="BA91" s="129"/>
      <c r="BB91" s="129"/>
      <c r="BC91" s="129"/>
      <c r="BD91" s="129"/>
      <c r="BE91" s="129"/>
      <c r="BF91" s="129"/>
      <c r="BG91" s="245"/>
    </row>
    <row r="92" spans="1:60" s="89" customFormat="1" ht="12.75" hidden="1" customHeight="1" x14ac:dyDescent="0.2">
      <c r="A92" s="138"/>
      <c r="B92" s="133"/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  <c r="AH92" s="262"/>
      <c r="AI92" s="262"/>
      <c r="AJ92" s="262"/>
      <c r="AK92" s="262"/>
      <c r="AL92" s="262"/>
      <c r="AM92" s="262"/>
      <c r="AN92" s="262"/>
      <c r="AO92" s="262"/>
      <c r="AP92" s="262"/>
      <c r="AQ92" s="262"/>
      <c r="AR92" s="262"/>
      <c r="AS92" s="262"/>
      <c r="AT92" s="262"/>
      <c r="AU92" s="262"/>
      <c r="AV92" s="262"/>
      <c r="AW92" s="262"/>
      <c r="AX92" s="263"/>
      <c r="AY92" s="264"/>
      <c r="AZ92" s="102"/>
      <c r="BA92" s="129"/>
      <c r="BB92" s="129"/>
      <c r="BC92" s="129"/>
      <c r="BD92" s="129"/>
      <c r="BE92" s="129"/>
      <c r="BF92" s="129"/>
      <c r="BG92" s="245"/>
    </row>
    <row r="93" spans="1:60" s="89" customFormat="1" ht="12.75" hidden="1" customHeight="1" x14ac:dyDescent="0.2">
      <c r="A93" s="138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4"/>
      <c r="AY93" s="264"/>
      <c r="AZ93" s="102"/>
      <c r="BA93" s="129"/>
      <c r="BB93" s="129"/>
      <c r="BC93" s="129"/>
      <c r="BD93" s="129"/>
      <c r="BE93" s="129"/>
      <c r="BF93" s="129"/>
      <c r="BG93" s="245"/>
    </row>
    <row r="94" spans="1:60" s="89" customFormat="1" ht="12.75" hidden="1" customHeight="1" x14ac:dyDescent="0.2">
      <c r="A94" s="215" t="s">
        <v>169</v>
      </c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216"/>
      <c r="AV94" s="216"/>
      <c r="AW94" s="216"/>
      <c r="AX94" s="217"/>
      <c r="AY94" s="101"/>
      <c r="AZ94" s="102" t="s">
        <v>196</v>
      </c>
      <c r="BA94" s="129"/>
      <c r="BB94" s="129"/>
      <c r="BC94" s="129">
        <v>49322</v>
      </c>
      <c r="BD94" s="129"/>
      <c r="BE94" s="129"/>
      <c r="BF94" s="129"/>
      <c r="BG94" s="245"/>
    </row>
    <row r="95" spans="1:60" s="89" customFormat="1" ht="12.75" hidden="1" customHeight="1" x14ac:dyDescent="0.2">
      <c r="A95" s="215" t="s">
        <v>169</v>
      </c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7"/>
      <c r="AY95" s="101"/>
      <c r="AZ95" s="102" t="s">
        <v>158</v>
      </c>
      <c r="BA95" s="129"/>
      <c r="BB95" s="129"/>
      <c r="BC95" s="129">
        <v>53578</v>
      </c>
      <c r="BD95" s="129"/>
      <c r="BE95" s="129"/>
      <c r="BF95" s="129"/>
      <c r="BG95" s="245"/>
    </row>
    <row r="96" spans="1:60" s="89" customFormat="1" ht="14.25" hidden="1" customHeight="1" x14ac:dyDescent="0.2">
      <c r="A96" s="215" t="s">
        <v>169</v>
      </c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216"/>
      <c r="AV96" s="216"/>
      <c r="AW96" s="216"/>
      <c r="AX96" s="217"/>
      <c r="AY96" s="101"/>
      <c r="AZ96" s="102" t="s">
        <v>195</v>
      </c>
      <c r="BA96" s="129"/>
      <c r="BB96" s="129"/>
      <c r="BC96" s="129">
        <v>36500</v>
      </c>
      <c r="BD96" s="129"/>
      <c r="BE96" s="129"/>
      <c r="BF96" s="129"/>
      <c r="BG96" s="245"/>
    </row>
    <row r="97" spans="1:63" s="89" customFormat="1" ht="14.25" hidden="1" customHeight="1" x14ac:dyDescent="0.2">
      <c r="A97" s="215" t="s">
        <v>173</v>
      </c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216"/>
      <c r="AP97" s="216"/>
      <c r="AQ97" s="216"/>
      <c r="AR97" s="216"/>
      <c r="AS97" s="216"/>
      <c r="AT97" s="216"/>
      <c r="AU97" s="216"/>
      <c r="AV97" s="216"/>
      <c r="AW97" s="216"/>
      <c r="AX97" s="217"/>
      <c r="AY97" s="101"/>
      <c r="AZ97" s="102" t="s">
        <v>157</v>
      </c>
      <c r="BA97" s="129"/>
      <c r="BB97" s="129"/>
      <c r="BC97" s="129">
        <v>1012318.48</v>
      </c>
      <c r="BD97" s="129"/>
      <c r="BE97" s="129"/>
      <c r="BF97" s="129"/>
      <c r="BG97" s="245"/>
    </row>
    <row r="98" spans="1:63" s="89" customFormat="1" ht="14.25" hidden="1" customHeight="1" x14ac:dyDescent="0.2">
      <c r="A98" s="215" t="s">
        <v>173</v>
      </c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7"/>
      <c r="AY98" s="101"/>
      <c r="AZ98" s="102"/>
      <c r="BA98" s="129"/>
      <c r="BB98" s="129"/>
      <c r="BC98" s="129"/>
      <c r="BD98" s="129"/>
      <c r="BE98" s="129"/>
      <c r="BF98" s="129"/>
      <c r="BG98" s="245"/>
    </row>
    <row r="99" spans="1:63" s="89" customFormat="1" ht="14.25" hidden="1" customHeight="1" x14ac:dyDescent="0.2">
      <c r="A99" s="215"/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7"/>
      <c r="AY99" s="255">
        <v>2001</v>
      </c>
      <c r="AZ99" s="102" t="s">
        <v>223</v>
      </c>
      <c r="BA99" s="129"/>
      <c r="BB99" s="129"/>
      <c r="BC99" s="129"/>
      <c r="BD99" s="129"/>
      <c r="BE99" s="129">
        <f>4585.09-4585.09</f>
        <v>0</v>
      </c>
      <c r="BF99" s="129"/>
      <c r="BG99" s="245"/>
    </row>
    <row r="100" spans="1:63" s="89" customFormat="1" ht="24.75" hidden="1" customHeight="1" x14ac:dyDescent="0.2">
      <c r="A100" s="215" t="s">
        <v>252</v>
      </c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7"/>
      <c r="AY100" s="256"/>
      <c r="AZ100" s="102" t="s">
        <v>195</v>
      </c>
      <c r="BA100" s="129"/>
      <c r="BB100" s="129"/>
      <c r="BC100" s="129"/>
      <c r="BD100" s="129"/>
      <c r="BE100" s="129"/>
      <c r="BF100" s="129"/>
      <c r="BG100" s="245"/>
    </row>
    <row r="101" spans="1:63" s="89" customFormat="1" ht="14.25" hidden="1" customHeight="1" x14ac:dyDescent="0.2">
      <c r="A101" s="154"/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6"/>
      <c r="AY101" s="256"/>
      <c r="AZ101" s="102" t="s">
        <v>153</v>
      </c>
      <c r="BA101" s="129"/>
      <c r="BB101" s="129"/>
      <c r="BC101" s="129"/>
      <c r="BD101" s="129"/>
      <c r="BE101" s="129">
        <f>50000-1254.87</f>
        <v>48745.13</v>
      </c>
      <c r="BF101" s="129"/>
      <c r="BG101" s="245"/>
    </row>
    <row r="102" spans="1:63" s="89" customFormat="1" ht="14.25" hidden="1" customHeight="1" x14ac:dyDescent="0.2">
      <c r="A102" s="158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60" t="s">
        <v>238</v>
      </c>
      <c r="AY102" s="256"/>
      <c r="AZ102" s="102" t="s">
        <v>159</v>
      </c>
      <c r="BA102" s="129"/>
      <c r="BB102" s="129"/>
      <c r="BC102" s="129"/>
      <c r="BD102" s="129"/>
      <c r="BE102" s="129">
        <f>16000+148.76+3423.87+0.06</f>
        <v>19572.690000000002</v>
      </c>
      <c r="BF102" s="129"/>
      <c r="BG102" s="245"/>
    </row>
    <row r="103" spans="1:63" s="89" customFormat="1" ht="14.25" hidden="1" customHeight="1" x14ac:dyDescent="0.2">
      <c r="A103" s="154"/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6" t="s">
        <v>160</v>
      </c>
      <c r="AY103" s="256"/>
      <c r="AZ103" s="102" t="s">
        <v>159</v>
      </c>
      <c r="BA103" s="129"/>
      <c r="BB103" s="129"/>
      <c r="BC103" s="129"/>
      <c r="BD103" s="129"/>
      <c r="BE103" s="129">
        <f>68000+19747.99</f>
        <v>87747.99</v>
      </c>
      <c r="BF103" s="129"/>
      <c r="BG103" s="245"/>
    </row>
    <row r="104" spans="1:63" s="89" customFormat="1" ht="14.25" hidden="1" customHeight="1" x14ac:dyDescent="0.2">
      <c r="A104" s="154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6" t="s">
        <v>161</v>
      </c>
      <c r="AY104" s="256"/>
      <c r="AZ104" s="102" t="s">
        <v>159</v>
      </c>
      <c r="BA104" s="129"/>
      <c r="BB104" s="129"/>
      <c r="BC104" s="129"/>
      <c r="BD104" s="129"/>
      <c r="BE104" s="129">
        <f>51000-3481.34</f>
        <v>47518.66</v>
      </c>
      <c r="BF104" s="129"/>
      <c r="BG104" s="245"/>
    </row>
    <row r="105" spans="1:63" s="89" customFormat="1" ht="14.25" hidden="1" customHeight="1" x14ac:dyDescent="0.2">
      <c r="A105" s="154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6" t="s">
        <v>162</v>
      </c>
      <c r="AY105" s="256"/>
      <c r="AZ105" s="102" t="s">
        <v>159</v>
      </c>
      <c r="BA105" s="129"/>
      <c r="BB105" s="129"/>
      <c r="BC105" s="129"/>
      <c r="BD105" s="129"/>
      <c r="BE105" s="129">
        <v>5000</v>
      </c>
      <c r="BF105" s="129"/>
      <c r="BG105" s="245"/>
      <c r="BH105" s="90" t="s">
        <v>219</v>
      </c>
      <c r="BI105" s="91" t="s">
        <v>164</v>
      </c>
      <c r="BJ105" s="91" t="s">
        <v>165</v>
      </c>
      <c r="BK105" s="91" t="s">
        <v>139</v>
      </c>
    </row>
    <row r="106" spans="1:63" s="89" customFormat="1" ht="14.25" hidden="1" customHeight="1" x14ac:dyDescent="0.2">
      <c r="A106" s="154"/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6"/>
      <c r="AY106" s="256"/>
      <c r="AZ106" s="102" t="s">
        <v>157</v>
      </c>
      <c r="BA106" s="129"/>
      <c r="BB106" s="129"/>
      <c r="BC106" s="129"/>
      <c r="BD106" s="129"/>
      <c r="BE106" s="129">
        <f>30000+79649</f>
        <v>109649</v>
      </c>
      <c r="BF106" s="129"/>
      <c r="BG106" s="245"/>
      <c r="BH106" s="90">
        <v>221</v>
      </c>
      <c r="BI106" s="92">
        <f>BE101+BE122</f>
        <v>48745.13</v>
      </c>
      <c r="BJ106" s="92">
        <f>BB68+BB83</f>
        <v>44400</v>
      </c>
      <c r="BK106" s="92">
        <f>BI106+BJ106</f>
        <v>93145.13</v>
      </c>
    </row>
    <row r="107" spans="1:63" s="89" customFormat="1" ht="14.25" hidden="1" customHeight="1" x14ac:dyDescent="0.2">
      <c r="A107" s="154"/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6"/>
      <c r="AY107" s="256"/>
      <c r="AZ107" s="102" t="s">
        <v>158</v>
      </c>
      <c r="BA107" s="129"/>
      <c r="BB107" s="129"/>
      <c r="BC107" s="129"/>
      <c r="BD107" s="129"/>
      <c r="BE107" s="129">
        <f>40000+42724.62</f>
        <v>82724.62</v>
      </c>
      <c r="BF107" s="129"/>
      <c r="BG107" s="245"/>
      <c r="BH107" s="90">
        <v>349</v>
      </c>
      <c r="BI107" s="92">
        <v>0</v>
      </c>
      <c r="BJ107" s="92">
        <f>BC94</f>
        <v>49322</v>
      </c>
      <c r="BK107" s="92">
        <f t="shared" ref="BK107:BK118" si="3">BI107+BJ107</f>
        <v>49322</v>
      </c>
    </row>
    <row r="108" spans="1:63" s="89" customFormat="1" ht="14.25" hidden="1" customHeight="1" x14ac:dyDescent="0.2">
      <c r="A108" s="154"/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6"/>
      <c r="AY108" s="256"/>
      <c r="AZ108" s="102" t="s">
        <v>163</v>
      </c>
      <c r="BA108" s="129"/>
      <c r="BB108" s="129"/>
      <c r="BC108" s="129"/>
      <c r="BD108" s="129"/>
      <c r="BE108" s="129">
        <f>140000+25000</f>
        <v>165000</v>
      </c>
      <c r="BF108" s="129"/>
      <c r="BG108" s="245"/>
      <c r="BH108" s="90">
        <v>223</v>
      </c>
      <c r="BI108" s="92">
        <f>BE103+BE104+BE105+BE119+BE120+BE121+BE102</f>
        <v>392232.61000000004</v>
      </c>
      <c r="BJ108" s="92">
        <f>BB69+BB70+BB71+BB84+BB85+BB86+BB72</f>
        <v>1879661.5599999998</v>
      </c>
      <c r="BK108" s="92">
        <f t="shared" si="3"/>
        <v>2271894.17</v>
      </c>
    </row>
    <row r="109" spans="1:63" s="89" customFormat="1" ht="14.25" hidden="1" customHeight="1" x14ac:dyDescent="0.2">
      <c r="A109" s="154"/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6"/>
      <c r="AY109" s="256"/>
      <c r="AZ109" s="102" t="s">
        <v>222</v>
      </c>
      <c r="BA109" s="129"/>
      <c r="BB109" s="129"/>
      <c r="BC109" s="129"/>
      <c r="BD109" s="129"/>
      <c r="BE109" s="129">
        <f>50000+45875-3423.87</f>
        <v>92451.13</v>
      </c>
      <c r="BF109" s="129"/>
      <c r="BG109" s="245"/>
      <c r="BH109" s="90">
        <v>225</v>
      </c>
      <c r="BI109" s="92">
        <f>BE106+BE114+BE123</f>
        <v>169649</v>
      </c>
      <c r="BJ109" s="92">
        <f>BB73+BB87+BC97</f>
        <v>1867605.27</v>
      </c>
      <c r="BK109" s="92">
        <f t="shared" si="3"/>
        <v>2037254.27</v>
      </c>
    </row>
    <row r="110" spans="1:63" s="89" customFormat="1" ht="14.25" hidden="1" customHeight="1" x14ac:dyDescent="0.2">
      <c r="A110" s="142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4"/>
      <c r="AY110" s="256"/>
      <c r="AZ110" s="102" t="s">
        <v>221</v>
      </c>
      <c r="BA110" s="129"/>
      <c r="BB110" s="129"/>
      <c r="BC110" s="129"/>
      <c r="BD110" s="129"/>
      <c r="BE110" s="129"/>
      <c r="BF110" s="129"/>
      <c r="BG110" s="245"/>
      <c r="BH110" s="90">
        <v>226</v>
      </c>
      <c r="BI110" s="92">
        <f>BE107+BE125</f>
        <v>82724.62</v>
      </c>
      <c r="BJ110" s="92">
        <f>BB74+BC95+BB88</f>
        <v>878196.78</v>
      </c>
      <c r="BK110" s="92">
        <f t="shared" si="3"/>
        <v>960921.4</v>
      </c>
    </row>
    <row r="111" spans="1:63" s="89" customFormat="1" ht="14.25" hidden="1" customHeight="1" x14ac:dyDescent="0.2">
      <c r="A111" s="142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4"/>
      <c r="AY111" s="256"/>
      <c r="AZ111" s="102" t="s">
        <v>224</v>
      </c>
      <c r="BA111" s="129"/>
      <c r="BB111" s="129"/>
      <c r="BC111" s="129"/>
      <c r="BD111" s="129"/>
      <c r="BE111" s="129"/>
      <c r="BF111" s="129"/>
      <c r="BG111" s="245"/>
      <c r="BH111" s="90">
        <v>290</v>
      </c>
      <c r="BI111" s="92">
        <f>BE116</f>
        <v>0</v>
      </c>
      <c r="BJ111" s="92"/>
      <c r="BK111" s="92">
        <f t="shared" si="3"/>
        <v>0</v>
      </c>
    </row>
    <row r="112" spans="1:63" s="89" customFormat="1" ht="14.25" hidden="1" customHeight="1" x14ac:dyDescent="0.2">
      <c r="A112" s="142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4"/>
      <c r="AY112" s="256"/>
      <c r="AZ112" s="102" t="s">
        <v>195</v>
      </c>
      <c r="BA112" s="129"/>
      <c r="BB112" s="129"/>
      <c r="BC112" s="129"/>
      <c r="BD112" s="129"/>
      <c r="BE112" s="129">
        <f>37000+12631</f>
        <v>49631</v>
      </c>
      <c r="BF112" s="129"/>
      <c r="BG112" s="245"/>
      <c r="BH112" s="90">
        <v>310</v>
      </c>
      <c r="BI112" s="92">
        <f>BE108+BE117+BE126</f>
        <v>165000</v>
      </c>
      <c r="BJ112" s="92">
        <f>BC91</f>
        <v>0</v>
      </c>
      <c r="BK112" s="92">
        <f t="shared" si="3"/>
        <v>165000</v>
      </c>
    </row>
    <row r="113" spans="1:64" s="89" customFormat="1" ht="14.25" hidden="1" customHeight="1" x14ac:dyDescent="0.2">
      <c r="A113" s="142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4"/>
      <c r="AY113" s="260"/>
      <c r="AZ113" s="102" t="s">
        <v>220</v>
      </c>
      <c r="BA113" s="129"/>
      <c r="BB113" s="129"/>
      <c r="BC113" s="129"/>
      <c r="BD113" s="129"/>
      <c r="BE113" s="129"/>
      <c r="BF113" s="129"/>
      <c r="BG113" s="245"/>
      <c r="BH113" s="90">
        <v>343</v>
      </c>
      <c r="BI113" s="92">
        <f>BE109+BE124</f>
        <v>92451.13</v>
      </c>
      <c r="BJ113" s="92">
        <f>BB76+BB90</f>
        <v>31875</v>
      </c>
      <c r="BK113" s="92">
        <f t="shared" si="3"/>
        <v>124326.13</v>
      </c>
    </row>
    <row r="114" spans="1:64" s="89" customFormat="1" ht="14.25" hidden="1" customHeight="1" x14ac:dyDescent="0.2">
      <c r="A114" s="142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4"/>
      <c r="AY114" s="101">
        <v>2006</v>
      </c>
      <c r="AZ114" s="102" t="s">
        <v>157</v>
      </c>
      <c r="BA114" s="129"/>
      <c r="BB114" s="129"/>
      <c r="BC114" s="129"/>
      <c r="BD114" s="129"/>
      <c r="BE114" s="129">
        <v>60000</v>
      </c>
      <c r="BF114" s="129"/>
      <c r="BG114" s="245"/>
      <c r="BH114" s="90">
        <v>344</v>
      </c>
      <c r="BI114" s="92">
        <f>BE110+BE127</f>
        <v>0</v>
      </c>
      <c r="BJ114" s="92">
        <f>BB77</f>
        <v>0</v>
      </c>
      <c r="BK114" s="92">
        <f t="shared" si="3"/>
        <v>0</v>
      </c>
    </row>
    <row r="115" spans="1:64" s="89" customFormat="1" ht="14.25" hidden="1" customHeight="1" x14ac:dyDescent="0.2">
      <c r="A115" s="142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4"/>
      <c r="AY115" s="101"/>
      <c r="AZ115" s="102"/>
      <c r="BA115" s="129"/>
      <c r="BB115" s="129"/>
      <c r="BC115" s="129"/>
      <c r="BD115" s="129"/>
      <c r="BE115" s="129"/>
      <c r="BF115" s="129"/>
      <c r="BG115" s="245"/>
      <c r="BH115" s="90">
        <v>345</v>
      </c>
      <c r="BI115" s="93">
        <f>BE111</f>
        <v>0</v>
      </c>
      <c r="BJ115" s="93">
        <f>BB78</f>
        <v>1163</v>
      </c>
      <c r="BK115" s="92">
        <f t="shared" si="3"/>
        <v>1163</v>
      </c>
    </row>
    <row r="116" spans="1:64" s="89" customFormat="1" ht="14.25" hidden="1" customHeight="1" x14ac:dyDescent="0.2">
      <c r="A116" s="142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4"/>
      <c r="AY116" s="257">
        <v>2010</v>
      </c>
      <c r="AZ116" s="102" t="s">
        <v>189</v>
      </c>
      <c r="BA116" s="129"/>
      <c r="BB116" s="129"/>
      <c r="BC116" s="129"/>
      <c r="BD116" s="129"/>
      <c r="BE116" s="129">
        <v>0</v>
      </c>
      <c r="BF116" s="129"/>
      <c r="BG116" s="245"/>
      <c r="BH116" s="90">
        <v>346</v>
      </c>
      <c r="BI116" s="92">
        <f>BE112+BE118+BE128+BE100</f>
        <v>49631</v>
      </c>
      <c r="BJ116" s="92">
        <f>BB79+BB89+BC96</f>
        <v>122571.29000000001</v>
      </c>
      <c r="BK116" s="92">
        <f t="shared" si="3"/>
        <v>172202.29</v>
      </c>
    </row>
    <row r="117" spans="1:64" s="89" customFormat="1" ht="14.25" hidden="1" customHeight="1" x14ac:dyDescent="0.2">
      <c r="A117" s="142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4"/>
      <c r="AY117" s="258"/>
      <c r="AZ117" s="102" t="s">
        <v>163</v>
      </c>
      <c r="BA117" s="129"/>
      <c r="BB117" s="129"/>
      <c r="BC117" s="129"/>
      <c r="BD117" s="129"/>
      <c r="BE117" s="129"/>
      <c r="BF117" s="129"/>
      <c r="BG117" s="245"/>
      <c r="BH117" s="90">
        <v>353</v>
      </c>
      <c r="BI117" s="93">
        <f>BE113</f>
        <v>0</v>
      </c>
      <c r="BJ117" s="93">
        <f>BB80</f>
        <v>0</v>
      </c>
      <c r="BK117" s="92">
        <f t="shared" si="3"/>
        <v>0</v>
      </c>
    </row>
    <row r="118" spans="1:64" s="89" customFormat="1" ht="14.25" hidden="1" customHeight="1" x14ac:dyDescent="0.2">
      <c r="A118" s="142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4"/>
      <c r="AY118" s="259"/>
      <c r="AZ118" s="102" t="s">
        <v>195</v>
      </c>
      <c r="BA118" s="129"/>
      <c r="BB118" s="129"/>
      <c r="BC118" s="129"/>
      <c r="BD118" s="129"/>
      <c r="BE118" s="129"/>
      <c r="BF118" s="129"/>
      <c r="BG118" s="245"/>
      <c r="BH118" s="90">
        <v>227</v>
      </c>
      <c r="BI118" s="92">
        <f>BE99</f>
        <v>0</v>
      </c>
      <c r="BJ118" s="92">
        <f>BB75</f>
        <v>0</v>
      </c>
      <c r="BK118" s="92">
        <f t="shared" si="3"/>
        <v>0</v>
      </c>
      <c r="BL118" s="123">
        <f>BI136+BJ136</f>
        <v>2486283.5500000003</v>
      </c>
    </row>
    <row r="119" spans="1:64" s="89" customFormat="1" ht="14.25" hidden="1" customHeight="1" x14ac:dyDescent="0.2">
      <c r="A119" s="142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4" t="s">
        <v>160</v>
      </c>
      <c r="AY119" s="257">
        <v>2011</v>
      </c>
      <c r="AZ119" s="102" t="s">
        <v>159</v>
      </c>
      <c r="BA119" s="129"/>
      <c r="BB119" s="129"/>
      <c r="BC119" s="129"/>
      <c r="BD119" s="129"/>
      <c r="BE119" s="129">
        <f>70000+118843.27</f>
        <v>188843.27000000002</v>
      </c>
      <c r="BF119" s="129"/>
      <c r="BG119" s="245"/>
      <c r="BH119" s="90" t="s">
        <v>139</v>
      </c>
      <c r="BI119" s="93">
        <f>SUM(BI106:BI118)</f>
        <v>1000433.49</v>
      </c>
      <c r="BJ119" s="93">
        <f>SUM(BJ106:BJ118)</f>
        <v>4874794.9000000004</v>
      </c>
      <c r="BK119" s="93">
        <f>SUM(BK106:BK118)</f>
        <v>5875228.3900000006</v>
      </c>
      <c r="BL119" s="123">
        <f>BI137+BJ137</f>
        <v>816240</v>
      </c>
    </row>
    <row r="120" spans="1:64" s="89" customFormat="1" ht="14.25" hidden="1" customHeight="1" x14ac:dyDescent="0.2">
      <c r="A120" s="142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4" t="s">
        <v>161</v>
      </c>
      <c r="AY120" s="258"/>
      <c r="AZ120" s="102" t="s">
        <v>159</v>
      </c>
      <c r="BA120" s="129"/>
      <c r="BB120" s="129"/>
      <c r="BC120" s="129"/>
      <c r="BD120" s="129"/>
      <c r="BE120" s="129">
        <f>28000+12000</f>
        <v>40000</v>
      </c>
      <c r="BF120" s="129"/>
      <c r="BG120" s="245"/>
      <c r="BI120" s="157">
        <f>BE67-BI119</f>
        <v>0</v>
      </c>
      <c r="BJ120" s="157">
        <f>BB67+BC67-BJ119</f>
        <v>0</v>
      </c>
      <c r="BK120" s="157">
        <f>BA67-BK119</f>
        <v>0</v>
      </c>
      <c r="BL120" s="123">
        <f>BI138+BJ138</f>
        <v>140615.79</v>
      </c>
    </row>
    <row r="121" spans="1:64" s="89" customFormat="1" ht="14.25" hidden="1" customHeight="1" x14ac:dyDescent="0.2">
      <c r="A121" s="142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4" t="s">
        <v>162</v>
      </c>
      <c r="AY121" s="259"/>
      <c r="AZ121" s="102" t="s">
        <v>159</v>
      </c>
      <c r="BA121" s="129"/>
      <c r="BB121" s="129"/>
      <c r="BC121" s="129"/>
      <c r="BD121" s="129"/>
      <c r="BE121" s="129">
        <f>2000+1550</f>
        <v>3550</v>
      </c>
      <c r="BF121" s="129"/>
      <c r="BG121" s="245"/>
      <c r="BL121" s="123">
        <f>BI139+BJ139</f>
        <v>3443139.3400000003</v>
      </c>
    </row>
    <row r="122" spans="1:64" s="89" customFormat="1" ht="14.25" hidden="1" customHeight="1" x14ac:dyDescent="0.2">
      <c r="A122" s="215"/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7"/>
      <c r="AY122" s="255">
        <v>2019</v>
      </c>
      <c r="AZ122" s="102" t="s">
        <v>153</v>
      </c>
      <c r="BA122" s="129"/>
      <c r="BB122" s="129"/>
      <c r="BC122" s="129"/>
      <c r="BD122" s="129"/>
      <c r="BE122" s="129"/>
      <c r="BF122" s="129"/>
      <c r="BG122" s="245"/>
    </row>
    <row r="123" spans="1:64" s="89" customFormat="1" ht="14.25" hidden="1" customHeight="1" x14ac:dyDescent="0.2">
      <c r="A123" s="215"/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7"/>
      <c r="AY123" s="256"/>
      <c r="AZ123" s="102" t="s">
        <v>157</v>
      </c>
      <c r="BA123" s="129"/>
      <c r="BB123" s="129"/>
      <c r="BC123" s="129"/>
      <c r="BD123" s="129"/>
      <c r="BE123" s="129"/>
      <c r="BF123" s="129"/>
      <c r="BG123" s="245"/>
    </row>
    <row r="124" spans="1:64" s="89" customFormat="1" ht="14.25" hidden="1" customHeight="1" x14ac:dyDescent="0.2">
      <c r="A124" s="154"/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6"/>
      <c r="AY124" s="256"/>
      <c r="AZ124" s="102" t="s">
        <v>222</v>
      </c>
      <c r="BA124" s="129"/>
      <c r="BB124" s="129"/>
      <c r="BC124" s="129"/>
      <c r="BD124" s="129"/>
      <c r="BE124" s="129"/>
      <c r="BF124" s="129"/>
      <c r="BG124" s="245"/>
    </row>
    <row r="125" spans="1:64" s="89" customFormat="1" ht="14.25" hidden="1" customHeight="1" x14ac:dyDescent="0.2">
      <c r="A125" s="215"/>
      <c r="B125" s="21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7"/>
      <c r="AY125" s="256"/>
      <c r="AZ125" s="102" t="s">
        <v>158</v>
      </c>
      <c r="BA125" s="129"/>
      <c r="BB125" s="129"/>
      <c r="BC125" s="129"/>
      <c r="BD125" s="129"/>
      <c r="BE125" s="129"/>
      <c r="BF125" s="129"/>
      <c r="BG125" s="245"/>
    </row>
    <row r="126" spans="1:64" s="89" customFormat="1" ht="14.25" hidden="1" customHeight="1" x14ac:dyDescent="0.2">
      <c r="A126" s="142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4"/>
      <c r="AY126" s="256"/>
      <c r="AZ126" s="102" t="s">
        <v>163</v>
      </c>
      <c r="BA126" s="129"/>
      <c r="BB126" s="129"/>
      <c r="BC126" s="129"/>
      <c r="BD126" s="129"/>
      <c r="BE126" s="129"/>
      <c r="BF126" s="129"/>
      <c r="BG126" s="245"/>
      <c r="BH126" s="96" t="s">
        <v>287</v>
      </c>
      <c r="BI126" s="96"/>
      <c r="BJ126" s="96"/>
    </row>
    <row r="127" spans="1:64" s="89" customFormat="1" ht="14.25" hidden="1" customHeight="1" x14ac:dyDescent="0.2">
      <c r="A127" s="215"/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7"/>
      <c r="AY127" s="256"/>
      <c r="AZ127" s="102" t="s">
        <v>221</v>
      </c>
      <c r="BA127" s="129"/>
      <c r="BB127" s="129"/>
      <c r="BC127" s="129"/>
      <c r="BD127" s="129"/>
      <c r="BE127" s="129"/>
      <c r="BF127" s="129"/>
      <c r="BG127" s="245"/>
      <c r="BH127" s="97">
        <v>2001</v>
      </c>
      <c r="BI127" s="98"/>
      <c r="BJ127" s="272">
        <f>BI127+BI128+BI129+BI130+BI131+BI132+BI133</f>
        <v>794067.31</v>
      </c>
    </row>
    <row r="128" spans="1:64" s="89" customFormat="1" ht="12.75" hidden="1" customHeight="1" x14ac:dyDescent="0.2">
      <c r="A128" s="215"/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7"/>
      <c r="AY128" s="260"/>
      <c r="AZ128" s="102" t="s">
        <v>195</v>
      </c>
      <c r="BA128" s="129"/>
      <c r="BB128" s="129"/>
      <c r="BC128" s="129"/>
      <c r="BD128" s="129"/>
      <c r="BE128" s="129"/>
      <c r="BF128" s="129"/>
      <c r="BG128" s="245"/>
      <c r="BH128" s="97">
        <v>2010</v>
      </c>
      <c r="BI128" s="98"/>
      <c r="BJ128" s="273"/>
    </row>
    <row r="129" spans="1:63" ht="12.75" customHeight="1" x14ac:dyDescent="0.2">
      <c r="A129" s="6"/>
      <c r="B129" s="7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1"/>
      <c r="AY129" s="8"/>
      <c r="AZ129" s="72"/>
      <c r="BA129" s="127"/>
      <c r="BB129" s="128"/>
      <c r="BC129" s="128"/>
      <c r="BD129" s="128"/>
      <c r="BE129" s="128"/>
      <c r="BF129" s="128"/>
      <c r="BH129" s="97">
        <v>2011</v>
      </c>
      <c r="BI129" s="98">
        <v>132393.26999999999</v>
      </c>
      <c r="BJ129" s="273"/>
    </row>
    <row r="130" spans="1:63" ht="12.75" customHeight="1" x14ac:dyDescent="0.2">
      <c r="A130" s="136"/>
      <c r="B130" s="148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1"/>
      <c r="AY130" s="8"/>
      <c r="AZ130" s="72"/>
      <c r="BA130" s="127"/>
      <c r="BB130" s="128"/>
      <c r="BC130" s="128"/>
      <c r="BD130" s="128"/>
      <c r="BE130" s="128"/>
      <c r="BF130" s="128"/>
      <c r="BH130" s="97">
        <v>2019</v>
      </c>
      <c r="BI130" s="98"/>
      <c r="BJ130" s="273"/>
    </row>
    <row r="131" spans="1:63" ht="12.75" customHeight="1" x14ac:dyDescent="0.2">
      <c r="A131" s="5"/>
      <c r="B131" s="210" t="s">
        <v>41</v>
      </c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1"/>
      <c r="AY131" s="8">
        <v>300</v>
      </c>
      <c r="AZ131" s="72" t="s">
        <v>28</v>
      </c>
      <c r="BA131" s="127">
        <f t="shared" ref="BA131:BA136" si="4">BB131+BC131+BD131+BF131</f>
        <v>0</v>
      </c>
      <c r="BB131" s="128"/>
      <c r="BC131" s="128"/>
      <c r="BD131" s="128"/>
      <c r="BE131" s="128"/>
      <c r="BF131" s="128"/>
      <c r="BH131" s="97">
        <f>2026</f>
        <v>2026</v>
      </c>
      <c r="BI131" s="98"/>
      <c r="BJ131" s="274"/>
    </row>
    <row r="132" spans="1:63" ht="12.75" customHeight="1" x14ac:dyDescent="0.2">
      <c r="A132" s="6"/>
      <c r="B132" s="7"/>
      <c r="C132" s="210" t="s">
        <v>42</v>
      </c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1"/>
      <c r="AY132" s="8">
        <v>310</v>
      </c>
      <c r="AZ132" s="72"/>
      <c r="BA132" s="127">
        <f t="shared" si="4"/>
        <v>0</v>
      </c>
      <c r="BB132" s="128"/>
      <c r="BC132" s="128"/>
      <c r="BD132" s="128"/>
      <c r="BE132" s="128"/>
      <c r="BF132" s="128"/>
      <c r="BH132" s="97">
        <v>2021</v>
      </c>
      <c r="BI132" s="98"/>
      <c r="BJ132" s="104"/>
    </row>
    <row r="133" spans="1:63" ht="12.75" customHeight="1" x14ac:dyDescent="0.2">
      <c r="A133" s="136"/>
      <c r="B133" s="148"/>
      <c r="C133" s="210" t="s">
        <v>43</v>
      </c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1"/>
      <c r="AY133" s="8">
        <v>320</v>
      </c>
      <c r="AZ133" s="72"/>
      <c r="BA133" s="127">
        <f t="shared" si="4"/>
        <v>0</v>
      </c>
      <c r="BB133" s="128"/>
      <c r="BC133" s="128"/>
      <c r="BD133" s="128"/>
      <c r="BE133" s="128"/>
      <c r="BF133" s="128"/>
      <c r="BH133" s="97">
        <v>4000</v>
      </c>
      <c r="BI133" s="98">
        <v>661674.04</v>
      </c>
      <c r="BJ133" s="104"/>
    </row>
    <row r="134" spans="1:63" ht="12.75" customHeight="1" x14ac:dyDescent="0.2">
      <c r="A134" s="136"/>
      <c r="B134" s="148"/>
      <c r="C134" s="210" t="s">
        <v>44</v>
      </c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1"/>
      <c r="AY134" s="8">
        <v>400</v>
      </c>
      <c r="AZ134" s="72"/>
      <c r="BA134" s="127">
        <f t="shared" si="4"/>
        <v>0</v>
      </c>
      <c r="BB134" s="128"/>
      <c r="BC134" s="128"/>
      <c r="BD134" s="128"/>
      <c r="BE134" s="128"/>
      <c r="BF134" s="128"/>
      <c r="BH134" s="121"/>
      <c r="BI134" s="121"/>
      <c r="BJ134" s="121"/>
    </row>
    <row r="135" spans="1:63" ht="12.75" customHeight="1" x14ac:dyDescent="0.2">
      <c r="A135" s="136"/>
      <c r="B135" s="148"/>
      <c r="C135" s="210" t="s">
        <v>45</v>
      </c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1"/>
      <c r="AY135" s="8">
        <v>410</v>
      </c>
      <c r="AZ135" s="72"/>
      <c r="BA135" s="127">
        <f t="shared" si="4"/>
        <v>0</v>
      </c>
      <c r="BB135" s="128"/>
      <c r="BC135" s="128"/>
      <c r="BD135" s="128"/>
      <c r="BE135" s="128"/>
      <c r="BF135" s="128"/>
      <c r="BH135" s="90" t="s">
        <v>166</v>
      </c>
      <c r="BI135" s="90" t="s">
        <v>164</v>
      </c>
      <c r="BJ135" s="90" t="s">
        <v>188</v>
      </c>
      <c r="BK135" s="94"/>
    </row>
    <row r="136" spans="1:63" ht="12.75" customHeight="1" x14ac:dyDescent="0.2">
      <c r="A136" s="136"/>
      <c r="B136" s="148"/>
      <c r="C136" s="210" t="s">
        <v>46</v>
      </c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1"/>
      <c r="AY136" s="8">
        <v>420</v>
      </c>
      <c r="AZ136" s="72"/>
      <c r="BA136" s="127">
        <f t="shared" si="4"/>
        <v>0</v>
      </c>
      <c r="BB136" s="128"/>
      <c r="BC136" s="128"/>
      <c r="BD136" s="128"/>
      <c r="BE136" s="128"/>
      <c r="BF136" s="128"/>
      <c r="BH136" s="90" t="s">
        <v>160</v>
      </c>
      <c r="BI136" s="95">
        <f>BE107+BE119</f>
        <v>271567.89</v>
      </c>
      <c r="BJ136" s="95">
        <f>BB69+BB84+BC97</f>
        <v>2214715.66</v>
      </c>
      <c r="BK136" s="95"/>
    </row>
    <row r="137" spans="1:63" ht="14.25" customHeight="1" x14ac:dyDescent="0.2">
      <c r="A137" s="136"/>
      <c r="B137" s="265" t="s">
        <v>22</v>
      </c>
      <c r="C137" s="218" t="s">
        <v>11</v>
      </c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  <c r="AI137" s="218"/>
      <c r="AJ137" s="218"/>
      <c r="AK137" s="218"/>
      <c r="AL137" s="218"/>
      <c r="AM137" s="218"/>
      <c r="AN137" s="218"/>
      <c r="AO137" s="218"/>
      <c r="AP137" s="218"/>
      <c r="AQ137" s="218"/>
      <c r="AR137" s="218"/>
      <c r="AS137" s="218"/>
      <c r="AT137" s="218"/>
      <c r="AU137" s="218"/>
      <c r="AV137" s="218"/>
      <c r="AW137" s="218"/>
      <c r="AX137" s="219"/>
      <c r="AY137" s="12" t="s">
        <v>23</v>
      </c>
      <c r="AZ137" s="72" t="s">
        <v>28</v>
      </c>
      <c r="BA137" s="127">
        <f>BB137+BC137+BD137+BE137</f>
        <v>794067.31</v>
      </c>
      <c r="BB137" s="131">
        <v>661674.04</v>
      </c>
      <c r="BC137" s="131">
        <v>0</v>
      </c>
      <c r="BD137" s="131">
        <v>0</v>
      </c>
      <c r="BE137" s="131">
        <v>132393.26999999999</v>
      </c>
      <c r="BF137" s="131">
        <v>0</v>
      </c>
      <c r="BH137" s="90" t="s">
        <v>161</v>
      </c>
      <c r="BI137" s="95">
        <f>BE108+BE120</f>
        <v>205000</v>
      </c>
      <c r="BJ137" s="95">
        <f>BB70+BB85</f>
        <v>611240</v>
      </c>
      <c r="BK137" s="95"/>
    </row>
    <row r="138" spans="1:63" ht="15" customHeight="1" x14ac:dyDescent="0.2">
      <c r="A138" s="136"/>
      <c r="B138" s="266" t="s">
        <v>24</v>
      </c>
      <c r="C138" s="267" t="s">
        <v>11</v>
      </c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7"/>
      <c r="AW138" s="267"/>
      <c r="AX138" s="267"/>
      <c r="AY138" s="146" t="s">
        <v>25</v>
      </c>
      <c r="AZ138" s="72" t="s">
        <v>28</v>
      </c>
      <c r="BA138" s="127">
        <f>BB138+BC138+BD138+BF138</f>
        <v>0</v>
      </c>
      <c r="BB138" s="128"/>
      <c r="BC138" s="128"/>
      <c r="BD138" s="128"/>
      <c r="BE138" s="128"/>
      <c r="BF138" s="128"/>
      <c r="BH138" s="90" t="s">
        <v>162</v>
      </c>
      <c r="BI138" s="95">
        <f>BE109+BE121</f>
        <v>96001.13</v>
      </c>
      <c r="BJ138" s="95">
        <f>BB71+BB86+BC98</f>
        <v>44614.66</v>
      </c>
      <c r="BK138" s="95"/>
    </row>
    <row r="139" spans="1:63" ht="14.25" customHeight="1" x14ac:dyDescent="0.2">
      <c r="A139" s="108"/>
      <c r="B139" s="115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2"/>
      <c r="AZ139" s="113"/>
      <c r="BA139" s="114"/>
      <c r="BB139" s="110"/>
      <c r="BC139" s="110"/>
      <c r="BD139" s="110"/>
      <c r="BE139" s="110"/>
      <c r="BF139" s="110"/>
      <c r="BH139" s="90"/>
      <c r="BI139" s="95">
        <f>SUM(BI136:BI138)</f>
        <v>572569.02</v>
      </c>
      <c r="BJ139" s="95">
        <f>SUM(BJ136:BJ138)</f>
        <v>2870570.3200000003</v>
      </c>
      <c r="BK139" s="95"/>
    </row>
    <row r="140" spans="1:63" ht="12.75" x14ac:dyDescent="0.2">
      <c r="A140" s="108"/>
      <c r="B140" s="109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2"/>
      <c r="AZ140" s="113"/>
      <c r="BA140" s="114"/>
      <c r="BB140" s="110"/>
      <c r="BC140" s="110"/>
      <c r="BD140" s="110"/>
      <c r="BE140" s="110"/>
      <c r="BF140" s="110"/>
      <c r="BH140" s="90"/>
      <c r="BI140" s="270">
        <f>BI139+BJ139</f>
        <v>3443139.3400000003</v>
      </c>
      <c r="BJ140" s="271"/>
      <c r="BK140" s="123"/>
    </row>
    <row r="141" spans="1:63" ht="25.5" customHeight="1" x14ac:dyDescent="0.2">
      <c r="A141" s="268" t="s">
        <v>51</v>
      </c>
      <c r="B141" s="268"/>
      <c r="C141" s="269"/>
      <c r="D141" s="269"/>
      <c r="E141" s="269"/>
      <c r="F141" s="269"/>
      <c r="G141" s="269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  <c r="AE141" s="269"/>
      <c r="AF141" s="269"/>
      <c r="AG141" s="269"/>
      <c r="AH141" s="269"/>
      <c r="AI141" s="269"/>
      <c r="AJ141" s="269"/>
      <c r="AK141" s="269"/>
      <c r="AL141" s="269"/>
      <c r="AM141" s="269"/>
      <c r="AN141" s="269"/>
      <c r="AO141" s="269"/>
      <c r="AP141" s="269"/>
      <c r="AQ141" s="269"/>
      <c r="AR141" s="269"/>
      <c r="AS141" s="269"/>
      <c r="AT141" s="269"/>
      <c r="AU141" s="269"/>
      <c r="AV141" s="269"/>
      <c r="AW141" s="269"/>
      <c r="AX141" s="269"/>
      <c r="BA141" s="105">
        <f>BA24-BA9-BA137</f>
        <v>2.3283064365386963E-9</v>
      </c>
      <c r="BB141" s="105">
        <f>BB24-BB9-BB137</f>
        <v>2.7939677238464355E-9</v>
      </c>
      <c r="BC141" s="105">
        <f>BC24-BC9-BC137</f>
        <v>0</v>
      </c>
      <c r="BD141" s="105">
        <f>BD24-BD9-BD137</f>
        <v>0</v>
      </c>
      <c r="BE141" s="105">
        <f>BE24-BE9-BE137</f>
        <v>0</v>
      </c>
      <c r="BF141" s="105">
        <f>BF24-BF9-BF137</f>
        <v>0</v>
      </c>
      <c r="BG141" s="9"/>
    </row>
    <row r="142" spans="1:63" ht="10.15" customHeight="1" x14ac:dyDescent="0.2">
      <c r="BG142" s="9"/>
    </row>
    <row r="143" spans="1:63" ht="10.15" customHeight="1" x14ac:dyDescent="0.2">
      <c r="BG143" s="9"/>
    </row>
    <row r="144" spans="1:63" ht="10.15" customHeight="1" x14ac:dyDescent="0.2">
      <c r="BB144" s="107"/>
      <c r="BG144" s="9"/>
    </row>
    <row r="145" spans="59:59" ht="10.15" customHeight="1" x14ac:dyDescent="0.2">
      <c r="BG145" s="9"/>
    </row>
    <row r="146" spans="59:59" ht="10.15" customHeight="1" x14ac:dyDescent="0.2">
      <c r="BG146" s="9"/>
    </row>
    <row r="149" spans="59:59" ht="10.15" customHeight="1" x14ac:dyDescent="0.2">
      <c r="BG149" s="9"/>
    </row>
    <row r="150" spans="59:59" ht="10.15" customHeight="1" x14ac:dyDescent="0.2">
      <c r="BG150" s="9"/>
    </row>
    <row r="152" spans="59:59" ht="10.15" customHeight="1" x14ac:dyDescent="0.2">
      <c r="BG152" s="9"/>
    </row>
  </sheetData>
  <mergeCells count="126">
    <mergeCell ref="B137:AX137"/>
    <mergeCell ref="B138:AX138"/>
    <mergeCell ref="A141:AX141"/>
    <mergeCell ref="BI140:BJ140"/>
    <mergeCell ref="A125:AX125"/>
    <mergeCell ref="A127:AX127"/>
    <mergeCell ref="BJ127:BJ131"/>
    <mergeCell ref="A128:AX128"/>
    <mergeCell ref="B131:AX131"/>
    <mergeCell ref="C133:AX133"/>
    <mergeCell ref="C134:AX134"/>
    <mergeCell ref="C135:AX135"/>
    <mergeCell ref="C132:AX132"/>
    <mergeCell ref="C129:AX129"/>
    <mergeCell ref="C130:AX130"/>
    <mergeCell ref="AY122:AY128"/>
    <mergeCell ref="BG68:BG128"/>
    <mergeCell ref="A71:AX71"/>
    <mergeCell ref="A123:AX123"/>
    <mergeCell ref="A122:AX122"/>
    <mergeCell ref="A98:AX98"/>
    <mergeCell ref="A100:AX100"/>
    <mergeCell ref="BG60:BK60"/>
    <mergeCell ref="A61:AX61"/>
    <mergeCell ref="A63:AX63"/>
    <mergeCell ref="C64:AX64"/>
    <mergeCell ref="C136:AX136"/>
    <mergeCell ref="AY68:AY82"/>
    <mergeCell ref="A75:AX75"/>
    <mergeCell ref="A94:AX94"/>
    <mergeCell ref="A95:AX95"/>
    <mergeCell ref="AY119:AY121"/>
    <mergeCell ref="AY116:AY118"/>
    <mergeCell ref="AY99:AY113"/>
    <mergeCell ref="A77:AX77"/>
    <mergeCell ref="A73:AX73"/>
    <mergeCell ref="B91:AX91"/>
    <mergeCell ref="A83:AX83"/>
    <mergeCell ref="AY83:AY93"/>
    <mergeCell ref="A84:AX84"/>
    <mergeCell ref="A85:AX85"/>
    <mergeCell ref="A86:AX86"/>
    <mergeCell ref="C92:AX92"/>
    <mergeCell ref="A99:AX99"/>
    <mergeCell ref="A62:AX62"/>
    <mergeCell ref="A68:AX68"/>
    <mergeCell ref="BG12:BG14"/>
    <mergeCell ref="C46:AX46"/>
    <mergeCell ref="A15:AX15"/>
    <mergeCell ref="C27:AX27"/>
    <mergeCell ref="C45:AX45"/>
    <mergeCell ref="C34:AX34"/>
    <mergeCell ref="C47:AX47"/>
    <mergeCell ref="A55:AX55"/>
    <mergeCell ref="C30:AX30"/>
    <mergeCell ref="B32:AX32"/>
    <mergeCell ref="C41:AX41"/>
    <mergeCell ref="B44:AX44"/>
    <mergeCell ref="C48:AX48"/>
    <mergeCell ref="A49:AX49"/>
    <mergeCell ref="B53:AX53"/>
    <mergeCell ref="B33:AX33"/>
    <mergeCell ref="A22:AX22"/>
    <mergeCell ref="B26:AX26"/>
    <mergeCell ref="C31:AX31"/>
    <mergeCell ref="B20:AX20"/>
    <mergeCell ref="A54:AX54"/>
    <mergeCell ref="A12:AX12"/>
    <mergeCell ref="BG37:BG40"/>
    <mergeCell ref="B39:AX39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A51:AX51"/>
    <mergeCell ref="B9:AX9"/>
    <mergeCell ref="B10:AX10"/>
    <mergeCell ref="B11:AX11"/>
    <mergeCell ref="B18:AX18"/>
    <mergeCell ref="C28:AX28"/>
    <mergeCell ref="B40:AX40"/>
    <mergeCell ref="B25:AX25"/>
    <mergeCell ref="B24:AX24"/>
    <mergeCell ref="B16:AX16"/>
    <mergeCell ref="B17:AX17"/>
    <mergeCell ref="A21:AX21"/>
    <mergeCell ref="B23:AX23"/>
    <mergeCell ref="A13:AX13"/>
    <mergeCell ref="A14:AX14"/>
    <mergeCell ref="B19:AX19"/>
    <mergeCell ref="B36:AX36"/>
    <mergeCell ref="B38:AX38"/>
    <mergeCell ref="B29:AX29"/>
    <mergeCell ref="B37:AX37"/>
    <mergeCell ref="C56:AX56"/>
    <mergeCell ref="A58:AX58"/>
    <mergeCell ref="A59:AX59"/>
    <mergeCell ref="A97:AX97"/>
    <mergeCell ref="B35:AX35"/>
    <mergeCell ref="A82:AX82"/>
    <mergeCell ref="A76:AX76"/>
    <mergeCell ref="A79:AX79"/>
    <mergeCell ref="A80:AX80"/>
    <mergeCell ref="A81:AX81"/>
    <mergeCell ref="A78:AX78"/>
    <mergeCell ref="B43:AX43"/>
    <mergeCell ref="B42:AX42"/>
    <mergeCell ref="A57:AX57"/>
    <mergeCell ref="A70:AX70"/>
    <mergeCell ref="C60:AX60"/>
    <mergeCell ref="A74:AX74"/>
    <mergeCell ref="A69:AX69"/>
    <mergeCell ref="A96:AX96"/>
    <mergeCell ref="C65:AX65"/>
    <mergeCell ref="C66:AX66"/>
    <mergeCell ref="B67:AX67"/>
    <mergeCell ref="A50:AX50"/>
    <mergeCell ref="A52:AX52"/>
  </mergeCells>
  <pageMargins left="0.11811023622047245" right="0.11811023622047245" top="0" bottom="0" header="0.31496062992125984" footer="0.31496062992125984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zoomScaleNormal="100" zoomScaleSheetLayoutView="100" workbookViewId="0">
      <pane ySplit="8" topLeftCell="A9" activePane="bottomLeft" state="frozen"/>
      <selection pane="bottomLeft" activeCell="BA43" sqref="BA43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25" t="s">
        <v>192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</row>
    <row r="3" spans="1:59" ht="12.75" x14ac:dyDescent="0.2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"/>
      <c r="BD3" s="1"/>
      <c r="BE3" s="1"/>
      <c r="BF3" s="1"/>
    </row>
    <row r="4" spans="1:59" ht="12.75" customHeight="1" x14ac:dyDescent="0.2">
      <c r="A4" s="232" t="s">
        <v>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4"/>
      <c r="AY4" s="241" t="s">
        <v>1</v>
      </c>
      <c r="AZ4" s="241" t="s">
        <v>2</v>
      </c>
      <c r="BA4" s="226" t="s">
        <v>3</v>
      </c>
      <c r="BB4" s="227"/>
      <c r="BC4" s="227"/>
      <c r="BD4" s="227"/>
      <c r="BE4" s="227"/>
      <c r="BF4" s="227"/>
    </row>
    <row r="5" spans="1:59" ht="12.75" customHeight="1" x14ac:dyDescent="0.2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7"/>
      <c r="AY5" s="242"/>
      <c r="AZ5" s="242"/>
      <c r="BA5" s="242" t="s">
        <v>26</v>
      </c>
      <c r="BB5" s="243" t="s">
        <v>4</v>
      </c>
      <c r="BC5" s="243"/>
      <c r="BD5" s="243"/>
      <c r="BE5" s="243"/>
      <c r="BF5" s="243"/>
    </row>
    <row r="6" spans="1:59" ht="61.5" customHeight="1" x14ac:dyDescent="0.2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7"/>
      <c r="AY6" s="242"/>
      <c r="AZ6" s="242"/>
      <c r="BA6" s="242"/>
      <c r="BB6" s="229" t="s">
        <v>5</v>
      </c>
      <c r="BC6" s="229" t="s">
        <v>6</v>
      </c>
      <c r="BD6" s="229" t="s">
        <v>7</v>
      </c>
      <c r="BE6" s="229" t="s">
        <v>8</v>
      </c>
      <c r="BF6" s="229"/>
    </row>
    <row r="7" spans="1:59" ht="31.5" customHeight="1" x14ac:dyDescent="0.2">
      <c r="A7" s="238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40"/>
      <c r="AY7" s="243"/>
      <c r="AZ7" s="243"/>
      <c r="BA7" s="243"/>
      <c r="BB7" s="229"/>
      <c r="BC7" s="229"/>
      <c r="BD7" s="229"/>
      <c r="BE7" s="173" t="s">
        <v>9</v>
      </c>
      <c r="BF7" s="173" t="s">
        <v>10</v>
      </c>
    </row>
    <row r="8" spans="1:59" ht="11.1" customHeight="1" x14ac:dyDescent="0.2">
      <c r="A8" s="226">
        <v>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8"/>
      <c r="AY8" s="2">
        <v>2</v>
      </c>
      <c r="AZ8" s="174">
        <v>3</v>
      </c>
      <c r="BA8" s="174">
        <v>4</v>
      </c>
      <c r="BB8" s="174">
        <v>5</v>
      </c>
      <c r="BC8" s="174">
        <v>6</v>
      </c>
      <c r="BD8" s="174">
        <v>7</v>
      </c>
      <c r="BE8" s="173">
        <v>8</v>
      </c>
      <c r="BF8" s="173">
        <v>9</v>
      </c>
    </row>
    <row r="9" spans="1:59" s="9" customFormat="1" ht="23.25" customHeight="1" x14ac:dyDescent="0.2">
      <c r="A9" s="3"/>
      <c r="B9" s="223" t="s">
        <v>27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4"/>
      <c r="AY9" s="11">
        <v>100</v>
      </c>
      <c r="AZ9" s="72" t="s">
        <v>28</v>
      </c>
      <c r="BA9" s="140">
        <f>BA10+BA11+BA13+BA14+BA15+BA16+BA17+BA12</f>
        <v>23047500</v>
      </c>
      <c r="BB9" s="140">
        <f>BB11</f>
        <v>21431390</v>
      </c>
      <c r="BC9" s="140">
        <f>BC15</f>
        <v>56110</v>
      </c>
      <c r="BD9" s="140">
        <f>BD15</f>
        <v>0</v>
      </c>
      <c r="BE9" s="140">
        <f>BE10+BE11+BE13+BE14+BE16+BE17+BE12</f>
        <v>1560000</v>
      </c>
      <c r="BF9" s="140">
        <f>BF11+BF16</f>
        <v>0</v>
      </c>
      <c r="BG9" s="153">
        <f>BA9+BA47-BA19</f>
        <v>0</v>
      </c>
    </row>
    <row r="10" spans="1:59" ht="21.75" customHeight="1" x14ac:dyDescent="0.2">
      <c r="A10" s="5"/>
      <c r="B10" s="210" t="s">
        <v>47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1"/>
      <c r="AY10" s="8">
        <v>110</v>
      </c>
      <c r="AZ10" s="4" t="s">
        <v>181</v>
      </c>
      <c r="BA10" s="79">
        <f>BE10</f>
        <v>0</v>
      </c>
      <c r="BB10" s="79" t="s">
        <v>28</v>
      </c>
      <c r="BC10" s="79" t="s">
        <v>28</v>
      </c>
      <c r="BD10" s="79" t="s">
        <v>28</v>
      </c>
      <c r="BE10" s="79"/>
      <c r="BF10" s="79" t="s">
        <v>28</v>
      </c>
      <c r="BG10" s="9" t="s">
        <v>29</v>
      </c>
    </row>
    <row r="11" spans="1:59" ht="17.25" customHeight="1" x14ac:dyDescent="0.2">
      <c r="A11" s="5"/>
      <c r="B11" s="210" t="s">
        <v>199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1"/>
      <c r="AY11" s="8">
        <v>120</v>
      </c>
      <c r="AZ11" s="4" t="s">
        <v>182</v>
      </c>
      <c r="BA11" s="79">
        <f>BB11+BE11+BF11</f>
        <v>22831390</v>
      </c>
      <c r="BB11" s="79">
        <v>21431390</v>
      </c>
      <c r="BC11" s="79" t="s">
        <v>28</v>
      </c>
      <c r="BD11" s="79" t="s">
        <v>28</v>
      </c>
      <c r="BE11" s="79">
        <v>1400000</v>
      </c>
      <c r="BF11" s="79">
        <v>0</v>
      </c>
      <c r="BG11" s="9" t="s">
        <v>185</v>
      </c>
    </row>
    <row r="12" spans="1:59" ht="18" customHeight="1" x14ac:dyDescent="0.2">
      <c r="A12" s="5"/>
      <c r="B12" s="210" t="s">
        <v>200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1"/>
      <c r="AY12" s="8">
        <v>130</v>
      </c>
      <c r="AZ12" s="4" t="s">
        <v>186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v>100000</v>
      </c>
      <c r="BF12" s="79">
        <v>0</v>
      </c>
      <c r="BG12" s="141">
        <v>2011</v>
      </c>
    </row>
    <row r="13" spans="1:59" ht="21" customHeight="1" x14ac:dyDescent="0.2">
      <c r="A13" s="5"/>
      <c r="B13" s="210" t="s">
        <v>201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1"/>
      <c r="AY13" s="8">
        <v>140</v>
      </c>
      <c r="AZ13" s="4" t="s">
        <v>183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10" t="s">
        <v>30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1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10" t="s">
        <v>209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1"/>
      <c r="AY15" s="8">
        <v>160</v>
      </c>
      <c r="AZ15" s="4" t="s">
        <v>197</v>
      </c>
      <c r="BA15" s="79">
        <f>BC15+BD15</f>
        <v>56110</v>
      </c>
      <c r="BB15" s="79" t="s">
        <v>28</v>
      </c>
      <c r="BC15" s="79">
        <v>56110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10" t="s">
        <v>203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1"/>
      <c r="AY16" s="8">
        <v>17</v>
      </c>
      <c r="AZ16" s="4" t="s">
        <v>184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10" t="s">
        <v>31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1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1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23" t="s">
        <v>34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4"/>
      <c r="AY19" s="11">
        <v>200</v>
      </c>
      <c r="AZ19" s="72" t="s">
        <v>28</v>
      </c>
      <c r="BA19" s="140">
        <f>BA20+BA26+BA29+BA34+BA36+BA37</f>
        <v>23047500</v>
      </c>
      <c r="BB19" s="140">
        <f>BB20+BB26+BB29+BB34+BB36+BB37</f>
        <v>21431390</v>
      </c>
      <c r="BC19" s="140">
        <f>BC20+BC26+BC29+BC34+BC36+BC37</f>
        <v>56110</v>
      </c>
      <c r="BD19" s="140">
        <f t="shared" ref="BD19:BE19" si="0">BD20+BD26+BD29+BD34+BD36+BD37</f>
        <v>0</v>
      </c>
      <c r="BE19" s="140">
        <f t="shared" si="0"/>
        <v>1560000</v>
      </c>
      <c r="BF19" s="140">
        <f>BF20+BF26+BF29+BF34+BF36+BF37</f>
        <v>0</v>
      </c>
      <c r="BG19" s="81"/>
    </row>
    <row r="20" spans="1:59" ht="36" customHeight="1" x14ac:dyDescent="0.2">
      <c r="A20" s="5"/>
      <c r="B20" s="218" t="s">
        <v>35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9"/>
      <c r="AY20" s="12">
        <v>210</v>
      </c>
      <c r="AZ20" s="13"/>
      <c r="BA20" s="82">
        <f>BA21+BA24+BA25</f>
        <v>18972610</v>
      </c>
      <c r="BB20" s="82">
        <f>BB21+BB24+BB25</f>
        <v>18044000</v>
      </c>
      <c r="BC20" s="82">
        <f t="shared" ref="BC20:BF20" si="1">BC21+BC24+BC25</f>
        <v>16610</v>
      </c>
      <c r="BD20" s="82">
        <f t="shared" si="1"/>
        <v>0</v>
      </c>
      <c r="BE20" s="82">
        <f t="shared" si="1"/>
        <v>912000</v>
      </c>
      <c r="BF20" s="82">
        <f t="shared" si="1"/>
        <v>0</v>
      </c>
    </row>
    <row r="21" spans="1:59" ht="35.25" customHeight="1" x14ac:dyDescent="0.2">
      <c r="A21" s="5"/>
      <c r="B21" s="218" t="s">
        <v>36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9"/>
      <c r="AY21" s="12">
        <v>211</v>
      </c>
      <c r="AZ21" s="13"/>
      <c r="BA21" s="82">
        <f>SUM(BA22:BA23)</f>
        <v>18824000</v>
      </c>
      <c r="BB21" s="82">
        <f t="shared" ref="BB21:BF21" si="2">SUM(BB22:BB23)</f>
        <v>17912000</v>
      </c>
      <c r="BC21" s="82">
        <f t="shared" si="2"/>
        <v>0</v>
      </c>
      <c r="BD21" s="82">
        <f t="shared" si="2"/>
        <v>0</v>
      </c>
      <c r="BE21" s="82">
        <f t="shared" si="2"/>
        <v>912000</v>
      </c>
      <c r="BF21" s="82">
        <f t="shared" si="2"/>
        <v>0</v>
      </c>
    </row>
    <row r="22" spans="1:59" ht="12.75" x14ac:dyDescent="0.2">
      <c r="A22" s="6"/>
      <c r="B22" s="7"/>
      <c r="C22" s="210" t="s">
        <v>204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1"/>
      <c r="AY22" s="8"/>
      <c r="AZ22" s="4" t="s">
        <v>15</v>
      </c>
      <c r="BA22" s="79">
        <f>BB22+BC22+BD22+BE22</f>
        <v>14528100</v>
      </c>
      <c r="BB22" s="79">
        <f>13798100+30000</f>
        <v>13828100</v>
      </c>
      <c r="BC22" s="79">
        <v>0</v>
      </c>
      <c r="BD22" s="79"/>
      <c r="BE22" s="79">
        <v>700000</v>
      </c>
      <c r="BF22" s="79"/>
      <c r="BG22" s="30" t="s">
        <v>179</v>
      </c>
    </row>
    <row r="23" spans="1:59" ht="50.25" customHeight="1" x14ac:dyDescent="0.2">
      <c r="A23" s="136"/>
      <c r="B23" s="175"/>
      <c r="C23" s="210" t="s">
        <v>205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1"/>
      <c r="AY23" s="8"/>
      <c r="AZ23" s="4" t="s">
        <v>16</v>
      </c>
      <c r="BA23" s="79">
        <f>BB23+BC23+BD23+BE23</f>
        <v>4295900</v>
      </c>
      <c r="BB23" s="79">
        <v>4083900</v>
      </c>
      <c r="BC23" s="79">
        <v>0</v>
      </c>
      <c r="BD23" s="79"/>
      <c r="BE23" s="79">
        <v>212000</v>
      </c>
      <c r="BF23" s="79">
        <v>0</v>
      </c>
      <c r="BG23" s="30" t="s">
        <v>180</v>
      </c>
    </row>
    <row r="24" spans="1:59" ht="30" customHeight="1" x14ac:dyDescent="0.2">
      <c r="A24" s="136"/>
      <c r="B24" s="175"/>
      <c r="C24" s="210" t="s">
        <v>210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1"/>
      <c r="AY24" s="8"/>
      <c r="AZ24" s="4" t="s">
        <v>14</v>
      </c>
      <c r="BA24" s="79">
        <f>BB24+BC24+BD24+BE24</f>
        <v>62210</v>
      </c>
      <c r="BB24" s="79">
        <v>45600</v>
      </c>
      <c r="BC24" s="79">
        <f>14000+2610</f>
        <v>16610</v>
      </c>
      <c r="BD24" s="79"/>
      <c r="BE24" s="79"/>
      <c r="BF24" s="79">
        <v>0</v>
      </c>
      <c r="BG24" s="9" t="s">
        <v>198</v>
      </c>
    </row>
    <row r="25" spans="1:59" ht="53.25" customHeight="1" x14ac:dyDescent="0.2">
      <c r="A25" s="136"/>
      <c r="B25" s="175"/>
      <c r="C25" s="210" t="s">
        <v>211</v>
      </c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1"/>
      <c r="AY25" s="8"/>
      <c r="AZ25" s="4" t="s">
        <v>20</v>
      </c>
      <c r="BA25" s="79">
        <f>BB25+BC25+BD25+BE25</f>
        <v>86400</v>
      </c>
      <c r="BB25" s="79">
        <v>86400</v>
      </c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8" t="s">
        <v>37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9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10" t="s">
        <v>12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1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75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1"/>
      <c r="AY28" s="8"/>
      <c r="AZ28" s="4" t="s">
        <v>193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194</v>
      </c>
    </row>
    <row r="29" spans="1:59" ht="21.95" customHeight="1" x14ac:dyDescent="0.2">
      <c r="A29" s="136"/>
      <c r="B29" s="175"/>
      <c r="C29" s="218" t="s">
        <v>38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9"/>
      <c r="AY29" s="12">
        <v>230</v>
      </c>
      <c r="AZ29" s="13"/>
      <c r="BA29" s="82">
        <f>BA31+BA32+BA33</f>
        <v>127907</v>
      </c>
      <c r="BB29" s="82">
        <f>BB31+BB32+BB33</f>
        <v>126907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1000</v>
      </c>
      <c r="BF29" s="82">
        <f>BF31+BF32+BF33</f>
        <v>0</v>
      </c>
    </row>
    <row r="30" spans="1:59" ht="10.5" customHeight="1" x14ac:dyDescent="0.2">
      <c r="A30" s="136"/>
      <c r="B30" s="175"/>
      <c r="C30" s="210" t="s">
        <v>12</v>
      </c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1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10" t="s">
        <v>207</v>
      </c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1"/>
      <c r="AY31" s="8"/>
      <c r="AZ31" s="4" t="s">
        <v>21</v>
      </c>
      <c r="BA31" s="79">
        <f>BB31+BC31+BD31+BE31</f>
        <v>102456</v>
      </c>
      <c r="BB31" s="79">
        <v>102456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10" t="s">
        <v>212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1"/>
      <c r="AY32" s="8"/>
      <c r="AZ32" s="4" t="s">
        <v>18</v>
      </c>
      <c r="BA32" s="79">
        <f>BB32+BC32+BD32+BE32</f>
        <v>24451</v>
      </c>
      <c r="BB32" s="79">
        <f>1451+23000</f>
        <v>24451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75"/>
      <c r="C33" s="210" t="s">
        <v>213</v>
      </c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1"/>
      <c r="AY33" s="8"/>
      <c r="AZ33" s="4" t="s">
        <v>19</v>
      </c>
      <c r="BA33" s="79">
        <f t="shared" ref="BA33" si="5">BB33+BC33+BD33+BE33</f>
        <v>1000</v>
      </c>
      <c r="BB33" s="79">
        <v>0</v>
      </c>
      <c r="BC33" s="79">
        <v>0</v>
      </c>
      <c r="BD33" s="79"/>
      <c r="BE33" s="79">
        <v>1000</v>
      </c>
      <c r="BF33" s="79">
        <v>0</v>
      </c>
    </row>
    <row r="34" spans="1:59" ht="23.25" hidden="1" customHeight="1" x14ac:dyDescent="0.2">
      <c r="A34" s="136"/>
      <c r="B34" s="175"/>
      <c r="C34" s="218" t="s">
        <v>39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9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75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1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75"/>
      <c r="C36" s="218" t="s">
        <v>40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9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8" t="s">
        <v>214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9"/>
      <c r="AY37" s="12">
        <v>260</v>
      </c>
      <c r="AZ37" s="13" t="s">
        <v>13</v>
      </c>
      <c r="BA37" s="82">
        <f>BB37+BC37+BD37+BE37</f>
        <v>3946983</v>
      </c>
      <c r="BB37" s="82">
        <f>44400+1295975+659075+45427+438793+662858+57924+4500+51531</f>
        <v>3260483</v>
      </c>
      <c r="BC37" s="82">
        <f>30178+9322</f>
        <v>39500</v>
      </c>
      <c r="BD37" s="82"/>
      <c r="BE37" s="82">
        <f>50000+140000+30000+60000+40000+140000+50000+37000+100000</f>
        <v>647000</v>
      </c>
      <c r="BF37" s="82">
        <v>0</v>
      </c>
    </row>
    <row r="38" spans="1:59" ht="12.75" x14ac:dyDescent="0.2">
      <c r="A38" s="6"/>
      <c r="B38" s="7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1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75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1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10" t="s">
        <v>41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1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10" t="s">
        <v>42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1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75"/>
      <c r="C42" s="210" t="s">
        <v>43</v>
      </c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1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75"/>
      <c r="C43" s="210" t="s">
        <v>44</v>
      </c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1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75"/>
      <c r="C44" s="210" t="s">
        <v>45</v>
      </c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1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75"/>
      <c r="C45" s="210" t="s">
        <v>46</v>
      </c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1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65" t="s">
        <v>22</v>
      </c>
      <c r="C46" s="218" t="s">
        <v>11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9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5" t="s">
        <v>24</v>
      </c>
      <c r="C47" s="210" t="s">
        <v>11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1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68" t="s">
        <v>51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pans="57:57" ht="10.15" customHeight="1" x14ac:dyDescent="0.2">
      <c r="BE49" s="30"/>
    </row>
    <row r="50" spans="57:57" ht="10.15" customHeight="1" x14ac:dyDescent="0.2">
      <c r="BE50" s="30"/>
    </row>
  </sheetData>
  <mergeCells count="52">
    <mergeCell ref="B11:AX11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C23:AX23"/>
    <mergeCell ref="B12:AX12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C22:AX22"/>
    <mergeCell ref="B21:AX21"/>
    <mergeCell ref="C33:AX33"/>
    <mergeCell ref="C34:AX34"/>
    <mergeCell ref="C25:AX25"/>
    <mergeCell ref="B26:AX26"/>
    <mergeCell ref="C30:AX30"/>
    <mergeCell ref="B31:AX31"/>
    <mergeCell ref="C24:AX24"/>
    <mergeCell ref="C27:AX27"/>
    <mergeCell ref="C28:AX28"/>
    <mergeCell ref="C29:AX29"/>
    <mergeCell ref="C32:AX32"/>
    <mergeCell ref="C36:AX36"/>
    <mergeCell ref="B37:AX37"/>
    <mergeCell ref="C39:AX39"/>
    <mergeCell ref="B40:AX40"/>
    <mergeCell ref="C35:AX35"/>
    <mergeCell ref="C45:AX45"/>
    <mergeCell ref="B47:AX47"/>
    <mergeCell ref="A48:AX48"/>
    <mergeCell ref="C38:AX38"/>
    <mergeCell ref="C41:AX41"/>
    <mergeCell ref="C42:AX42"/>
    <mergeCell ref="C43:AX43"/>
    <mergeCell ref="C44:AX44"/>
    <mergeCell ref="B46:AX46"/>
  </mergeCells>
  <pageMargins left="0.11811023622047245" right="0.11811023622047245" top="0" bottom="0" header="0.31496062992125984" footer="0.31496062992125984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37" activePane="bottomLeft" state="frozen"/>
      <selection pane="bottomLeft" activeCell="BB58" sqref="BB58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25" t="s">
        <v>274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</row>
    <row r="3" spans="1:59" ht="12.75" x14ac:dyDescent="0.2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"/>
      <c r="BD3" s="1"/>
      <c r="BE3" s="1"/>
      <c r="BF3" s="1"/>
    </row>
    <row r="4" spans="1:59" ht="12.75" customHeight="1" x14ac:dyDescent="0.2">
      <c r="A4" s="232" t="s">
        <v>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4"/>
      <c r="AY4" s="241" t="s">
        <v>1</v>
      </c>
      <c r="AZ4" s="241" t="s">
        <v>2</v>
      </c>
      <c r="BA4" s="226" t="s">
        <v>3</v>
      </c>
      <c r="BB4" s="227"/>
      <c r="BC4" s="227"/>
      <c r="BD4" s="227"/>
      <c r="BE4" s="227"/>
      <c r="BF4" s="227"/>
    </row>
    <row r="5" spans="1:59" ht="12.75" customHeight="1" x14ac:dyDescent="0.2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7"/>
      <c r="AY5" s="242"/>
      <c r="AZ5" s="242"/>
      <c r="BA5" s="242" t="s">
        <v>26</v>
      </c>
      <c r="BB5" s="243" t="s">
        <v>4</v>
      </c>
      <c r="BC5" s="243"/>
      <c r="BD5" s="243"/>
      <c r="BE5" s="243"/>
      <c r="BF5" s="243"/>
    </row>
    <row r="6" spans="1:59" ht="61.5" customHeight="1" x14ac:dyDescent="0.2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7"/>
      <c r="AY6" s="242"/>
      <c r="AZ6" s="242"/>
      <c r="BA6" s="242"/>
      <c r="BB6" s="229" t="s">
        <v>5</v>
      </c>
      <c r="BC6" s="229" t="s">
        <v>6</v>
      </c>
      <c r="BD6" s="229" t="s">
        <v>7</v>
      </c>
      <c r="BE6" s="229" t="s">
        <v>8</v>
      </c>
      <c r="BF6" s="229"/>
    </row>
    <row r="7" spans="1:59" ht="31.5" customHeight="1" x14ac:dyDescent="0.2">
      <c r="A7" s="238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40"/>
      <c r="AY7" s="243"/>
      <c r="AZ7" s="243"/>
      <c r="BA7" s="243"/>
      <c r="BB7" s="229"/>
      <c r="BC7" s="229"/>
      <c r="BD7" s="229"/>
      <c r="BE7" s="150" t="s">
        <v>9</v>
      </c>
      <c r="BF7" s="150" t="s">
        <v>10</v>
      </c>
    </row>
    <row r="8" spans="1:59" ht="11.1" customHeight="1" x14ac:dyDescent="0.2">
      <c r="A8" s="226">
        <v>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8"/>
      <c r="AY8" s="2">
        <v>2</v>
      </c>
      <c r="AZ8" s="151">
        <v>3</v>
      </c>
      <c r="BA8" s="151">
        <v>4</v>
      </c>
      <c r="BB8" s="151">
        <v>5</v>
      </c>
      <c r="BC8" s="151">
        <v>6</v>
      </c>
      <c r="BD8" s="151">
        <v>7</v>
      </c>
      <c r="BE8" s="150">
        <v>8</v>
      </c>
      <c r="BF8" s="150">
        <v>9</v>
      </c>
    </row>
    <row r="9" spans="1:59" s="9" customFormat="1" ht="23.25" customHeight="1" x14ac:dyDescent="0.2">
      <c r="A9" s="3"/>
      <c r="B9" s="223" t="s">
        <v>27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4"/>
      <c r="AY9" s="11">
        <v>100</v>
      </c>
      <c r="AZ9" s="72" t="s">
        <v>28</v>
      </c>
      <c r="BA9" s="140">
        <f>BA10+BA11+BA13+BA14+BA15+BA16+BA17+BA12</f>
        <v>23105568</v>
      </c>
      <c r="BB9" s="140">
        <f>BB11</f>
        <v>21489458</v>
      </c>
      <c r="BC9" s="140">
        <f>BC15</f>
        <v>56110</v>
      </c>
      <c r="BD9" s="140">
        <f>BD15</f>
        <v>0</v>
      </c>
      <c r="BE9" s="140">
        <f>BE10+BE11+BE13+BE14+BE16+BE17+BE12</f>
        <v>1560000</v>
      </c>
      <c r="BF9" s="140">
        <f>BF11+BF16</f>
        <v>0</v>
      </c>
      <c r="BG9" s="153">
        <f>BA9+BA47-BA19</f>
        <v>0</v>
      </c>
    </row>
    <row r="10" spans="1:59" ht="21.75" customHeight="1" x14ac:dyDescent="0.2">
      <c r="A10" s="5"/>
      <c r="B10" s="210" t="s">
        <v>47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1"/>
      <c r="AY10" s="8">
        <v>110</v>
      </c>
      <c r="AZ10" s="4" t="s">
        <v>181</v>
      </c>
      <c r="BA10" s="79">
        <f>BE10</f>
        <v>0</v>
      </c>
      <c r="BB10" s="79" t="s">
        <v>28</v>
      </c>
      <c r="BC10" s="79" t="s">
        <v>28</v>
      </c>
      <c r="BD10" s="79" t="s">
        <v>28</v>
      </c>
      <c r="BE10" s="79"/>
      <c r="BF10" s="79" t="s">
        <v>28</v>
      </c>
      <c r="BG10" s="9" t="s">
        <v>29</v>
      </c>
    </row>
    <row r="11" spans="1:59" ht="17.25" customHeight="1" x14ac:dyDescent="0.2">
      <c r="A11" s="5"/>
      <c r="B11" s="210" t="s">
        <v>199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1"/>
      <c r="AY11" s="8">
        <v>120</v>
      </c>
      <c r="AZ11" s="4" t="s">
        <v>182</v>
      </c>
      <c r="BA11" s="79">
        <f>BB11+BE11+BF11</f>
        <v>22889458</v>
      </c>
      <c r="BB11" s="79">
        <v>21489458</v>
      </c>
      <c r="BC11" s="79" t="s">
        <v>28</v>
      </c>
      <c r="BD11" s="79" t="s">
        <v>28</v>
      </c>
      <c r="BE11" s="79">
        <v>1400000</v>
      </c>
      <c r="BF11" s="79">
        <v>0</v>
      </c>
      <c r="BG11" s="9" t="s">
        <v>185</v>
      </c>
    </row>
    <row r="12" spans="1:59" ht="18" customHeight="1" x14ac:dyDescent="0.2">
      <c r="A12" s="5"/>
      <c r="B12" s="210" t="s">
        <v>200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1"/>
      <c r="AY12" s="8">
        <v>130</v>
      </c>
      <c r="AZ12" s="4" t="s">
        <v>186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v>100000</v>
      </c>
      <c r="BF12" s="79">
        <v>0</v>
      </c>
      <c r="BG12" s="141">
        <v>2011</v>
      </c>
    </row>
    <row r="13" spans="1:59" ht="21" customHeight="1" x14ac:dyDescent="0.2">
      <c r="A13" s="5"/>
      <c r="B13" s="210" t="s">
        <v>201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1"/>
      <c r="AY13" s="8">
        <v>140</v>
      </c>
      <c r="AZ13" s="4" t="s">
        <v>183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10" t="s">
        <v>30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1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10" t="s">
        <v>209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1"/>
      <c r="AY15" s="8">
        <v>160</v>
      </c>
      <c r="AZ15" s="4" t="s">
        <v>197</v>
      </c>
      <c r="BA15" s="79">
        <f>BC15+BD15</f>
        <v>56110</v>
      </c>
      <c r="BB15" s="79" t="s">
        <v>28</v>
      </c>
      <c r="BC15" s="79">
        <v>56110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10" t="s">
        <v>203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1"/>
      <c r="AY16" s="8">
        <v>17</v>
      </c>
      <c r="AZ16" s="4" t="s">
        <v>184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10" t="s">
        <v>31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1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1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23" t="s">
        <v>34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4"/>
      <c r="AY19" s="11">
        <v>200</v>
      </c>
      <c r="AZ19" s="72" t="s">
        <v>28</v>
      </c>
      <c r="BA19" s="140">
        <f>BA20+BA26+BA29+BA34+BA36+BA37</f>
        <v>23105568</v>
      </c>
      <c r="BB19" s="140">
        <f>BB20+BB26+BB29+BB34+BB36+BB37</f>
        <v>21489458</v>
      </c>
      <c r="BC19" s="140">
        <f>BC20+BC26+BC29+BC34+BC36+BC37</f>
        <v>56110</v>
      </c>
      <c r="BD19" s="140">
        <f t="shared" ref="BD19:BE19" si="0">BD20+BD26+BD29+BD34+BD36+BD37</f>
        <v>0</v>
      </c>
      <c r="BE19" s="140">
        <f t="shared" si="0"/>
        <v>1560000</v>
      </c>
      <c r="BF19" s="140">
        <f>BF20+BF26+BF29+BF34+BF36+BF37</f>
        <v>0</v>
      </c>
      <c r="BG19" s="81"/>
    </row>
    <row r="20" spans="1:59" ht="36" customHeight="1" x14ac:dyDescent="0.2">
      <c r="A20" s="5"/>
      <c r="B20" s="218" t="s">
        <v>35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9"/>
      <c r="AY20" s="12">
        <v>210</v>
      </c>
      <c r="AZ20" s="13"/>
      <c r="BA20" s="82">
        <f>BA21+BA24+BA25</f>
        <v>18972610</v>
      </c>
      <c r="BB20" s="82">
        <f>BB21+BB24+BB25</f>
        <v>18044000</v>
      </c>
      <c r="BC20" s="82">
        <f t="shared" ref="BC20:BF20" si="1">BC21+BC24+BC25</f>
        <v>16610</v>
      </c>
      <c r="BD20" s="82">
        <f t="shared" si="1"/>
        <v>0</v>
      </c>
      <c r="BE20" s="82">
        <f t="shared" si="1"/>
        <v>912000</v>
      </c>
      <c r="BF20" s="82">
        <f t="shared" si="1"/>
        <v>0</v>
      </c>
    </row>
    <row r="21" spans="1:59" ht="35.25" customHeight="1" x14ac:dyDescent="0.2">
      <c r="A21" s="5"/>
      <c r="B21" s="218" t="s">
        <v>36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9"/>
      <c r="AY21" s="12">
        <v>211</v>
      </c>
      <c r="AZ21" s="13"/>
      <c r="BA21" s="82">
        <f>SUM(BA22:BA23)</f>
        <v>18824000</v>
      </c>
      <c r="BB21" s="82">
        <f t="shared" ref="BB21:BF21" si="2">SUM(BB22:BB23)</f>
        <v>17912000</v>
      </c>
      <c r="BC21" s="82">
        <f t="shared" si="2"/>
        <v>0</v>
      </c>
      <c r="BD21" s="82">
        <f t="shared" si="2"/>
        <v>0</v>
      </c>
      <c r="BE21" s="82">
        <f t="shared" si="2"/>
        <v>912000</v>
      </c>
      <c r="BF21" s="82">
        <f t="shared" si="2"/>
        <v>0</v>
      </c>
    </row>
    <row r="22" spans="1:59" ht="12.75" x14ac:dyDescent="0.2">
      <c r="A22" s="6"/>
      <c r="B22" s="7"/>
      <c r="C22" s="210" t="s">
        <v>204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1"/>
      <c r="AY22" s="8"/>
      <c r="AZ22" s="4" t="s">
        <v>15</v>
      </c>
      <c r="BA22" s="79">
        <f>BB22+BC22+BD22+BE22</f>
        <v>14528100</v>
      </c>
      <c r="BB22" s="79">
        <f>13798100+30000</f>
        <v>13828100</v>
      </c>
      <c r="BC22" s="79">
        <v>0</v>
      </c>
      <c r="BD22" s="79"/>
      <c r="BE22" s="79">
        <v>700000</v>
      </c>
      <c r="BF22" s="79"/>
      <c r="BG22" s="30" t="s">
        <v>179</v>
      </c>
    </row>
    <row r="23" spans="1:59" ht="50.25" customHeight="1" x14ac:dyDescent="0.2">
      <c r="A23" s="136"/>
      <c r="B23" s="152"/>
      <c r="C23" s="210" t="s">
        <v>205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1"/>
      <c r="AY23" s="8"/>
      <c r="AZ23" s="4" t="s">
        <v>16</v>
      </c>
      <c r="BA23" s="79">
        <f>BB23+BC23+BD23+BE23</f>
        <v>4295900</v>
      </c>
      <c r="BB23" s="79">
        <v>4083900</v>
      </c>
      <c r="BC23" s="79">
        <v>0</v>
      </c>
      <c r="BD23" s="79"/>
      <c r="BE23" s="79">
        <v>212000</v>
      </c>
      <c r="BF23" s="79">
        <v>0</v>
      </c>
      <c r="BG23" s="30" t="s">
        <v>180</v>
      </c>
    </row>
    <row r="24" spans="1:59" ht="30" customHeight="1" x14ac:dyDescent="0.2">
      <c r="A24" s="136"/>
      <c r="B24" s="152"/>
      <c r="C24" s="210" t="s">
        <v>210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1"/>
      <c r="AY24" s="8"/>
      <c r="AZ24" s="4" t="s">
        <v>14</v>
      </c>
      <c r="BA24" s="79">
        <f>BB24+BC24+BD24+BE24</f>
        <v>62210</v>
      </c>
      <c r="BB24" s="79">
        <v>45600</v>
      </c>
      <c r="BC24" s="79">
        <f>14000+2610</f>
        <v>16610</v>
      </c>
      <c r="BD24" s="79"/>
      <c r="BE24" s="79"/>
      <c r="BF24" s="79">
        <v>0</v>
      </c>
      <c r="BG24" s="9" t="s">
        <v>198</v>
      </c>
    </row>
    <row r="25" spans="1:59" ht="53.25" customHeight="1" x14ac:dyDescent="0.2">
      <c r="A25" s="136"/>
      <c r="B25" s="152"/>
      <c r="C25" s="210" t="s">
        <v>211</v>
      </c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1"/>
      <c r="AY25" s="8"/>
      <c r="AZ25" s="4" t="s">
        <v>20</v>
      </c>
      <c r="BA25" s="79">
        <f>BB25+BC25+BD25+BE25</f>
        <v>86400</v>
      </c>
      <c r="BB25" s="79">
        <v>86400</v>
      </c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8" t="s">
        <v>37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9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10" t="s">
        <v>12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1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52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1"/>
      <c r="AY28" s="8"/>
      <c r="AZ28" s="4" t="s">
        <v>193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194</v>
      </c>
    </row>
    <row r="29" spans="1:59" ht="21.95" customHeight="1" x14ac:dyDescent="0.2">
      <c r="A29" s="136"/>
      <c r="B29" s="152"/>
      <c r="C29" s="218" t="s">
        <v>38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9"/>
      <c r="AY29" s="12">
        <v>230</v>
      </c>
      <c r="AZ29" s="13"/>
      <c r="BA29" s="82">
        <f>BA31+BA32+BA33</f>
        <v>127907</v>
      </c>
      <c r="BB29" s="82">
        <f>BB31+BB32+BB33</f>
        <v>126907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1000</v>
      </c>
      <c r="BF29" s="82">
        <f>BF31+BF32+BF33</f>
        <v>0</v>
      </c>
    </row>
    <row r="30" spans="1:59" ht="10.5" customHeight="1" x14ac:dyDescent="0.2">
      <c r="A30" s="136"/>
      <c r="B30" s="152"/>
      <c r="C30" s="210" t="s">
        <v>12</v>
      </c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1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10" t="s">
        <v>207</v>
      </c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1"/>
      <c r="AY31" s="8"/>
      <c r="AZ31" s="4" t="s">
        <v>21</v>
      </c>
      <c r="BA31" s="79">
        <f>BB31+BC31+BD31+BE31</f>
        <v>102456</v>
      </c>
      <c r="BB31" s="79">
        <v>102456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10" t="s">
        <v>212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1"/>
      <c r="AY32" s="8"/>
      <c r="AZ32" s="4" t="s">
        <v>18</v>
      </c>
      <c r="BA32" s="79">
        <f>BB32+BC32+BD32+BE32</f>
        <v>24451</v>
      </c>
      <c r="BB32" s="79">
        <f>1451+23000</f>
        <v>24451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52"/>
      <c r="C33" s="210" t="s">
        <v>213</v>
      </c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1"/>
      <c r="AY33" s="8"/>
      <c r="AZ33" s="4" t="s">
        <v>19</v>
      </c>
      <c r="BA33" s="79">
        <f t="shared" ref="BA33" si="5">BB33+BC33+BD33+BE33</f>
        <v>1000</v>
      </c>
      <c r="BB33" s="79">
        <v>0</v>
      </c>
      <c r="BC33" s="79">
        <v>0</v>
      </c>
      <c r="BD33" s="79"/>
      <c r="BE33" s="79">
        <v>1000</v>
      </c>
      <c r="BF33" s="79">
        <v>0</v>
      </c>
    </row>
    <row r="34" spans="1:59" ht="23.25" hidden="1" customHeight="1" x14ac:dyDescent="0.2">
      <c r="A34" s="136"/>
      <c r="B34" s="152"/>
      <c r="C34" s="218" t="s">
        <v>39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9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52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1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52"/>
      <c r="C36" s="218" t="s">
        <v>40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9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8" t="s">
        <v>214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9"/>
      <c r="AY37" s="12">
        <v>260</v>
      </c>
      <c r="AZ37" s="13" t="s">
        <v>13</v>
      </c>
      <c r="BA37" s="82">
        <f>BB37+BC37+BD37+BE37</f>
        <v>4005051</v>
      </c>
      <c r="BB37" s="82">
        <v>3318551</v>
      </c>
      <c r="BC37" s="82">
        <f>30178+9322</f>
        <v>39500</v>
      </c>
      <c r="BD37" s="82"/>
      <c r="BE37" s="82">
        <f>50000+140000+30000+60000+40000+140000+50000+37000+100000</f>
        <v>647000</v>
      </c>
      <c r="BF37" s="82">
        <v>0</v>
      </c>
    </row>
    <row r="38" spans="1:59" ht="12.75" x14ac:dyDescent="0.2">
      <c r="A38" s="6"/>
      <c r="B38" s="7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1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52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1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10" t="s">
        <v>41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1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10" t="s">
        <v>42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1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52"/>
      <c r="C42" s="210" t="s">
        <v>43</v>
      </c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1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52"/>
      <c r="C43" s="210" t="s">
        <v>44</v>
      </c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1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52"/>
      <c r="C44" s="210" t="s">
        <v>45</v>
      </c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1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52"/>
      <c r="C45" s="210" t="s">
        <v>46</v>
      </c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1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65" t="s">
        <v>22</v>
      </c>
      <c r="C46" s="218" t="s">
        <v>11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9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5" t="s">
        <v>24</v>
      </c>
      <c r="C47" s="210" t="s">
        <v>11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1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68" t="s">
        <v>51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pans="57:57" ht="22.5" customHeight="1" x14ac:dyDescent="0.2">
      <c r="BE49" s="30"/>
    </row>
    <row r="50" spans="57:57" ht="10.15" customHeight="1" x14ac:dyDescent="0.2">
      <c r="BE50" s="30"/>
    </row>
  </sheetData>
  <mergeCells count="52">
    <mergeCell ref="C38:AX38"/>
    <mergeCell ref="C34:AX34"/>
    <mergeCell ref="C35:AX35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B40:AX40"/>
    <mergeCell ref="C42:AX42"/>
    <mergeCell ref="B46:AX46"/>
    <mergeCell ref="B47:AX47"/>
    <mergeCell ref="C25:AX25"/>
    <mergeCell ref="C29:AX29"/>
    <mergeCell ref="C30:AX30"/>
    <mergeCell ref="C27:AX27"/>
    <mergeCell ref="C32:AX32"/>
    <mergeCell ref="B26:AX26"/>
    <mergeCell ref="C28:AX28"/>
    <mergeCell ref="B31:AX31"/>
    <mergeCell ref="C33:AX33"/>
    <mergeCell ref="B37:AX37"/>
    <mergeCell ref="C39:AX39"/>
    <mergeCell ref="C36:AX36"/>
    <mergeCell ref="A48:AX48"/>
    <mergeCell ref="C43:AX43"/>
    <mergeCell ref="C44:AX44"/>
    <mergeCell ref="C45:AX45"/>
    <mergeCell ref="C41:AX41"/>
  </mergeCells>
  <pageMargins left="0.11811023622047245" right="0.11811023622047245" top="0" bottom="0" header="0.31496062992125984" footer="0.31496062992125984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tabSelected="1" topLeftCell="A4" zoomScale="55" zoomScaleNormal="55" workbookViewId="0">
      <selection activeCell="M25" sqref="M25"/>
    </sheetView>
  </sheetViews>
  <sheetFormatPr defaultRowHeight="18" x14ac:dyDescent="0.25"/>
  <cols>
    <col min="1" max="1" width="42.57031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0" width="12.5703125" customWidth="1"/>
    <col min="11" max="12" width="11.85546875" customWidth="1"/>
    <col min="13" max="13" width="92.28515625" style="77" customWidth="1"/>
  </cols>
  <sheetData>
    <row r="1" spans="1:13" ht="18.75" x14ac:dyDescent="0.3">
      <c r="A1" s="208" t="s">
        <v>92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3" ht="18.75" x14ac:dyDescent="0.3">
      <c r="A2" s="208" t="s">
        <v>93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3" ht="18.75" x14ac:dyDescent="0.3">
      <c r="A3" s="208" t="s">
        <v>275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3" ht="18.75" x14ac:dyDescent="0.3">
      <c r="A4" s="51"/>
    </row>
    <row r="5" spans="1:13" ht="18.75" x14ac:dyDescent="0.3">
      <c r="A5" s="51"/>
    </row>
    <row r="6" spans="1:13" ht="15.75" customHeight="1" x14ac:dyDescent="0.25">
      <c r="A6" s="276" t="s">
        <v>94</v>
      </c>
      <c r="B6" s="276" t="s">
        <v>95</v>
      </c>
      <c r="C6" s="276" t="s">
        <v>96</v>
      </c>
      <c r="D6" s="276" t="s">
        <v>97</v>
      </c>
      <c r="E6" s="276"/>
      <c r="F6" s="276"/>
      <c r="G6" s="276"/>
      <c r="H6" s="276"/>
      <c r="I6" s="276"/>
      <c r="J6" s="276"/>
      <c r="K6" s="276"/>
      <c r="L6" s="276"/>
    </row>
    <row r="7" spans="1:13" x14ac:dyDescent="0.25">
      <c r="A7" s="276"/>
      <c r="B7" s="276"/>
      <c r="C7" s="276"/>
      <c r="D7" s="276" t="s">
        <v>98</v>
      </c>
      <c r="E7" s="276"/>
      <c r="F7" s="276"/>
      <c r="G7" s="276"/>
      <c r="H7" s="276"/>
      <c r="I7" s="276"/>
      <c r="J7" s="276"/>
      <c r="K7" s="276"/>
      <c r="L7" s="276"/>
    </row>
    <row r="8" spans="1:13" x14ac:dyDescent="0.25">
      <c r="A8" s="276"/>
      <c r="B8" s="276"/>
      <c r="C8" s="276"/>
      <c r="D8" s="276" t="s">
        <v>99</v>
      </c>
      <c r="E8" s="276"/>
      <c r="F8" s="276"/>
      <c r="G8" s="276" t="s">
        <v>4</v>
      </c>
      <c r="H8" s="276"/>
      <c r="I8" s="276"/>
      <c r="J8" s="276"/>
      <c r="K8" s="276"/>
      <c r="L8" s="276"/>
    </row>
    <row r="9" spans="1:13" ht="102" customHeight="1" x14ac:dyDescent="0.25">
      <c r="A9" s="276"/>
      <c r="B9" s="276"/>
      <c r="C9" s="276"/>
      <c r="D9" s="276"/>
      <c r="E9" s="276"/>
      <c r="F9" s="276"/>
      <c r="G9" s="277" t="s">
        <v>100</v>
      </c>
      <c r="H9" s="277"/>
      <c r="I9" s="277"/>
      <c r="J9" s="277" t="s">
        <v>101</v>
      </c>
      <c r="K9" s="277"/>
      <c r="L9" s="277"/>
    </row>
    <row r="10" spans="1:13" ht="118.5" customHeight="1" x14ac:dyDescent="0.25">
      <c r="A10" s="276"/>
      <c r="B10" s="276"/>
      <c r="C10" s="276"/>
      <c r="D10" s="99" t="s">
        <v>276</v>
      </c>
      <c r="E10" s="99" t="s">
        <v>277</v>
      </c>
      <c r="F10" s="99" t="s">
        <v>278</v>
      </c>
      <c r="G10" s="171" t="s">
        <v>276</v>
      </c>
      <c r="H10" s="171" t="s">
        <v>277</v>
      </c>
      <c r="I10" s="171" t="s">
        <v>278</v>
      </c>
      <c r="J10" s="171" t="s">
        <v>276</v>
      </c>
      <c r="K10" s="171" t="s">
        <v>277</v>
      </c>
      <c r="L10" s="171" t="s">
        <v>278</v>
      </c>
      <c r="M10" s="77" t="s">
        <v>141</v>
      </c>
    </row>
    <row r="11" spans="1:13" x14ac:dyDescent="0.25">
      <c r="A11" s="61">
        <v>1</v>
      </c>
      <c r="B11" s="61">
        <v>2</v>
      </c>
      <c r="C11" s="61">
        <v>3</v>
      </c>
      <c r="D11" s="99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</row>
    <row r="12" spans="1:13" ht="36.75" customHeight="1" x14ac:dyDescent="0.25">
      <c r="A12" s="55" t="s">
        <v>102</v>
      </c>
      <c r="B12" s="62">
        <v>1</v>
      </c>
      <c r="C12" s="62" t="s">
        <v>103</v>
      </c>
      <c r="D12" s="83">
        <f>SUM(D14:D27)</f>
        <v>5875228.3900000006</v>
      </c>
      <c r="E12" s="83">
        <f>SUM(E14:E27)</f>
        <v>3946983</v>
      </c>
      <c r="F12" s="83">
        <f t="shared" ref="F12:L12" si="0">SUM(F14:F27)</f>
        <v>4005051</v>
      </c>
      <c r="G12" s="83">
        <f t="shared" si="0"/>
        <v>5875228.3900000006</v>
      </c>
      <c r="H12" s="83">
        <f>SUM(H14:H27)</f>
        <v>3946983</v>
      </c>
      <c r="I12" s="83">
        <f t="shared" ref="I12" si="1">SUM(I14:I27)</f>
        <v>4005051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78"/>
    </row>
    <row r="13" spans="1:13" ht="54.75" customHeight="1" x14ac:dyDescent="0.25">
      <c r="A13" s="55" t="s">
        <v>104</v>
      </c>
      <c r="B13" s="62">
        <v>1001</v>
      </c>
      <c r="C13" s="62" t="s">
        <v>103</v>
      </c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1:13" s="30" customFormat="1" ht="31.5" customHeight="1" x14ac:dyDescent="0.25">
      <c r="A14" s="55" t="s">
        <v>133</v>
      </c>
      <c r="B14" s="62"/>
      <c r="C14" s="62"/>
      <c r="D14" s="83">
        <f>'3'!BK106</f>
        <v>93145.13</v>
      </c>
      <c r="E14" s="83">
        <f>44400+50000</f>
        <v>94400</v>
      </c>
      <c r="F14" s="83">
        <f>44400+50000</f>
        <v>94400</v>
      </c>
      <c r="G14" s="83">
        <f>D14</f>
        <v>93145.13</v>
      </c>
      <c r="H14" s="83">
        <f>E14</f>
        <v>94400</v>
      </c>
      <c r="I14" s="83">
        <f>F14</f>
        <v>94400</v>
      </c>
      <c r="J14" s="83">
        <v>0</v>
      </c>
      <c r="K14" s="83">
        <v>0</v>
      </c>
      <c r="L14" s="83">
        <v>0</v>
      </c>
      <c r="M14" s="84"/>
    </row>
    <row r="15" spans="1:13" s="30" customFormat="1" ht="27.75" customHeight="1" x14ac:dyDescent="0.25">
      <c r="A15" s="55" t="s">
        <v>140</v>
      </c>
      <c r="B15" s="62"/>
      <c r="C15" s="62"/>
      <c r="D15" s="83">
        <v>0</v>
      </c>
      <c r="E15" s="83">
        <v>0</v>
      </c>
      <c r="F15" s="83">
        <v>0</v>
      </c>
      <c r="G15" s="83">
        <f t="shared" ref="G15:G26" si="2">D15</f>
        <v>0</v>
      </c>
      <c r="H15" s="83">
        <f t="shared" ref="H15:H26" si="3">E15</f>
        <v>0</v>
      </c>
      <c r="I15" s="83">
        <f t="shared" ref="I15:I26" si="4">F15</f>
        <v>0</v>
      </c>
      <c r="J15" s="83">
        <v>0</v>
      </c>
      <c r="K15" s="83">
        <v>0</v>
      </c>
      <c r="L15" s="83">
        <v>0</v>
      </c>
      <c r="M15" s="84"/>
    </row>
    <row r="16" spans="1:13" s="30" customFormat="1" ht="27.75" customHeight="1" x14ac:dyDescent="0.25">
      <c r="A16" s="55" t="s">
        <v>134</v>
      </c>
      <c r="B16" s="62"/>
      <c r="C16" s="62"/>
      <c r="D16" s="83">
        <f>'3'!BK108</f>
        <v>2271894.17</v>
      </c>
      <c r="E16" s="83">
        <f>2000477+240000</f>
        <v>2240477</v>
      </c>
      <c r="F16" s="83">
        <f>46726+1333616+678203+240000</f>
        <v>2298545</v>
      </c>
      <c r="G16" s="83">
        <f t="shared" si="2"/>
        <v>2271894.17</v>
      </c>
      <c r="H16" s="83">
        <f t="shared" si="3"/>
        <v>2240477</v>
      </c>
      <c r="I16" s="83">
        <f t="shared" si="4"/>
        <v>2298545</v>
      </c>
      <c r="J16" s="83">
        <v>0</v>
      </c>
      <c r="K16" s="83">
        <v>0</v>
      </c>
      <c r="L16" s="83">
        <v>0</v>
      </c>
      <c r="M16" s="84"/>
    </row>
    <row r="17" spans="1:13" s="30" customFormat="1" ht="39.75" customHeight="1" x14ac:dyDescent="0.25">
      <c r="A17" s="55" t="s">
        <v>135</v>
      </c>
      <c r="B17" s="62"/>
      <c r="C17" s="62"/>
      <c r="D17" s="83">
        <f>'3'!BK109</f>
        <v>2037254.27</v>
      </c>
      <c r="E17" s="83">
        <f>438793+60000+30000</f>
        <v>528793</v>
      </c>
      <c r="F17" s="83">
        <f>438793+60000+30000</f>
        <v>528793</v>
      </c>
      <c r="G17" s="83">
        <f t="shared" si="2"/>
        <v>2037254.27</v>
      </c>
      <c r="H17" s="83">
        <f t="shared" si="3"/>
        <v>528793</v>
      </c>
      <c r="I17" s="83">
        <f t="shared" si="4"/>
        <v>528793</v>
      </c>
      <c r="J17" s="83">
        <v>0</v>
      </c>
      <c r="K17" s="83">
        <v>0</v>
      </c>
      <c r="L17" s="83">
        <v>0</v>
      </c>
      <c r="M17" s="84"/>
    </row>
    <row r="18" spans="1:13" s="30" customFormat="1" ht="27.75" customHeight="1" x14ac:dyDescent="0.25">
      <c r="A18" s="55" t="s">
        <v>136</v>
      </c>
      <c r="B18" s="62"/>
      <c r="C18" s="62"/>
      <c r="D18" s="83">
        <f>'3'!BK110</f>
        <v>960921.4</v>
      </c>
      <c r="E18" s="83">
        <f>40000+662858</f>
        <v>702858</v>
      </c>
      <c r="F18" s="83">
        <f>40000+662858</f>
        <v>702858</v>
      </c>
      <c r="G18" s="83">
        <f t="shared" si="2"/>
        <v>960921.4</v>
      </c>
      <c r="H18" s="83">
        <f t="shared" si="3"/>
        <v>702858</v>
      </c>
      <c r="I18" s="83">
        <f t="shared" si="4"/>
        <v>702858</v>
      </c>
      <c r="J18" s="83">
        <v>0</v>
      </c>
      <c r="K18" s="83">
        <v>0</v>
      </c>
      <c r="L18" s="83">
        <v>0</v>
      </c>
      <c r="M18" s="84"/>
    </row>
    <row r="19" spans="1:13" s="30" customFormat="1" ht="24.75" customHeight="1" x14ac:dyDescent="0.25">
      <c r="A19" s="55" t="s">
        <v>235</v>
      </c>
      <c r="B19" s="62"/>
      <c r="C19" s="62"/>
      <c r="D19" s="83">
        <f>'3'!BK118</f>
        <v>0</v>
      </c>
      <c r="E19" s="83">
        <v>0</v>
      </c>
      <c r="F19" s="83">
        <v>0</v>
      </c>
      <c r="G19" s="83">
        <f t="shared" si="2"/>
        <v>0</v>
      </c>
      <c r="H19" s="83">
        <f t="shared" si="3"/>
        <v>0</v>
      </c>
      <c r="I19" s="83">
        <f t="shared" si="4"/>
        <v>0</v>
      </c>
      <c r="J19" s="83">
        <v>0</v>
      </c>
      <c r="K19" s="83">
        <v>0</v>
      </c>
      <c r="L19" s="83">
        <v>0</v>
      </c>
      <c r="M19" s="84"/>
    </row>
    <row r="20" spans="1:13" s="30" customFormat="1" ht="24.75" customHeight="1" x14ac:dyDescent="0.25">
      <c r="A20" s="55" t="s">
        <v>137</v>
      </c>
      <c r="B20" s="62"/>
      <c r="C20" s="62"/>
      <c r="D20" s="83">
        <f>'3'!BK111</f>
        <v>0</v>
      </c>
      <c r="E20" s="83">
        <v>0</v>
      </c>
      <c r="F20" s="83">
        <v>0</v>
      </c>
      <c r="G20" s="83">
        <f t="shared" si="2"/>
        <v>0</v>
      </c>
      <c r="H20" s="83">
        <f t="shared" si="3"/>
        <v>0</v>
      </c>
      <c r="I20" s="83">
        <f t="shared" si="4"/>
        <v>0</v>
      </c>
      <c r="J20" s="83">
        <v>0</v>
      </c>
      <c r="K20" s="83">
        <v>0</v>
      </c>
      <c r="L20" s="83">
        <v>0</v>
      </c>
      <c r="M20" s="84"/>
    </row>
    <row r="21" spans="1:13" s="30" customFormat="1" ht="34.5" customHeight="1" x14ac:dyDescent="0.25">
      <c r="A21" s="55" t="s">
        <v>138</v>
      </c>
      <c r="B21" s="62"/>
      <c r="C21" s="62"/>
      <c r="D21" s="83">
        <f>'3'!BK112</f>
        <v>165000</v>
      </c>
      <c r="E21" s="83">
        <v>140000</v>
      </c>
      <c r="F21" s="83">
        <v>140000</v>
      </c>
      <c r="G21" s="83">
        <f t="shared" si="2"/>
        <v>165000</v>
      </c>
      <c r="H21" s="83">
        <f t="shared" si="3"/>
        <v>140000</v>
      </c>
      <c r="I21" s="83">
        <f t="shared" si="4"/>
        <v>140000</v>
      </c>
      <c r="J21" s="83">
        <v>0</v>
      </c>
      <c r="K21" s="83">
        <v>0</v>
      </c>
      <c r="L21" s="83">
        <v>0</v>
      </c>
      <c r="M21" s="84"/>
    </row>
    <row r="22" spans="1:13" s="30" customFormat="1" ht="43.5" customHeight="1" x14ac:dyDescent="0.25">
      <c r="A22" s="55" t="s">
        <v>216</v>
      </c>
      <c r="B22" s="62"/>
      <c r="C22" s="62"/>
      <c r="D22" s="83">
        <f>'3'!BK113</f>
        <v>124326.13</v>
      </c>
      <c r="E22" s="83">
        <f>57924+50000</f>
        <v>107924</v>
      </c>
      <c r="F22" s="83">
        <f>57924+50000</f>
        <v>107924</v>
      </c>
      <c r="G22" s="83">
        <f t="shared" si="2"/>
        <v>124326.13</v>
      </c>
      <c r="H22" s="83">
        <f t="shared" si="3"/>
        <v>107924</v>
      </c>
      <c r="I22" s="83">
        <f t="shared" si="4"/>
        <v>107924</v>
      </c>
      <c r="J22" s="83">
        <v>0</v>
      </c>
      <c r="K22" s="83">
        <v>0</v>
      </c>
      <c r="L22" s="83">
        <v>0</v>
      </c>
      <c r="M22" s="84"/>
    </row>
    <row r="23" spans="1:13" s="30" customFormat="1" ht="43.5" customHeight="1" x14ac:dyDescent="0.25">
      <c r="A23" s="55" t="s">
        <v>218</v>
      </c>
      <c r="B23" s="62"/>
      <c r="C23" s="62"/>
      <c r="D23" s="83">
        <f>'3'!BK114</f>
        <v>0</v>
      </c>
      <c r="E23" s="83">
        <v>0</v>
      </c>
      <c r="F23" s="83">
        <v>0</v>
      </c>
      <c r="G23" s="83">
        <f t="shared" si="2"/>
        <v>0</v>
      </c>
      <c r="H23" s="83">
        <f t="shared" si="3"/>
        <v>0</v>
      </c>
      <c r="I23" s="83">
        <f t="shared" si="4"/>
        <v>0</v>
      </c>
      <c r="J23" s="83">
        <v>0</v>
      </c>
      <c r="K23" s="83">
        <v>0</v>
      </c>
      <c r="L23" s="83">
        <v>0</v>
      </c>
      <c r="M23" s="84"/>
    </row>
    <row r="24" spans="1:13" s="30" customFormat="1" ht="39.75" customHeight="1" x14ac:dyDescent="0.25">
      <c r="A24" s="55" t="s">
        <v>215</v>
      </c>
      <c r="B24" s="55"/>
      <c r="C24" s="55"/>
      <c r="D24" s="83">
        <f>'3'!BK115</f>
        <v>1163</v>
      </c>
      <c r="E24" s="83">
        <v>4500</v>
      </c>
      <c r="F24" s="83">
        <v>4500</v>
      </c>
      <c r="G24" s="83">
        <f t="shared" si="2"/>
        <v>1163</v>
      </c>
      <c r="H24" s="83">
        <f t="shared" si="3"/>
        <v>4500</v>
      </c>
      <c r="I24" s="83">
        <f t="shared" si="4"/>
        <v>4500</v>
      </c>
      <c r="J24" s="83">
        <v>0</v>
      </c>
      <c r="K24" s="83">
        <v>0</v>
      </c>
      <c r="L24" s="83">
        <v>0</v>
      </c>
      <c r="M24" s="84"/>
    </row>
    <row r="25" spans="1:13" ht="57" customHeight="1" x14ac:dyDescent="0.25">
      <c r="A25" s="55" t="s">
        <v>208</v>
      </c>
      <c r="B25" s="55"/>
      <c r="C25" s="55"/>
      <c r="D25" s="83">
        <f>'3'!BK116</f>
        <v>172202.29</v>
      </c>
      <c r="E25" s="83">
        <f>51531+37000</f>
        <v>88531</v>
      </c>
      <c r="F25" s="83">
        <f>51531+37000</f>
        <v>88531</v>
      </c>
      <c r="G25" s="83">
        <f t="shared" si="2"/>
        <v>172202.29</v>
      </c>
      <c r="H25" s="83">
        <f t="shared" si="3"/>
        <v>88531</v>
      </c>
      <c r="I25" s="83">
        <f t="shared" si="4"/>
        <v>88531</v>
      </c>
      <c r="J25" s="83">
        <v>0</v>
      </c>
      <c r="K25" s="83">
        <v>0</v>
      </c>
      <c r="L25" s="83">
        <v>0</v>
      </c>
      <c r="M25" s="84"/>
    </row>
    <row r="26" spans="1:13" s="30" customFormat="1" ht="57" customHeight="1" x14ac:dyDescent="0.25">
      <c r="A26" s="55" t="s">
        <v>226</v>
      </c>
      <c r="B26" s="55"/>
      <c r="C26" s="55"/>
      <c r="D26" s="83">
        <f>'3'!BK107</f>
        <v>49322</v>
      </c>
      <c r="E26" s="83">
        <f>9322+30178</f>
        <v>39500</v>
      </c>
      <c r="F26" s="83">
        <f>9322+30178</f>
        <v>39500</v>
      </c>
      <c r="G26" s="83">
        <f t="shared" si="2"/>
        <v>49322</v>
      </c>
      <c r="H26" s="83">
        <f t="shared" si="3"/>
        <v>39500</v>
      </c>
      <c r="I26" s="83">
        <f t="shared" si="4"/>
        <v>39500</v>
      </c>
      <c r="J26" s="83">
        <v>0</v>
      </c>
      <c r="K26" s="83">
        <v>0</v>
      </c>
      <c r="L26" s="83">
        <v>0</v>
      </c>
      <c r="M26" s="84"/>
    </row>
    <row r="27" spans="1:13" s="30" customFormat="1" ht="87" customHeight="1" x14ac:dyDescent="0.25">
      <c r="A27" s="55" t="s">
        <v>217</v>
      </c>
      <c r="B27" s="55"/>
      <c r="C27" s="55"/>
      <c r="D27" s="83">
        <f>'3'!BK117</f>
        <v>0</v>
      </c>
      <c r="E27" s="83">
        <v>0</v>
      </c>
      <c r="F27" s="83">
        <v>0</v>
      </c>
      <c r="G27" s="83">
        <f t="shared" ref="G27" si="5">D27</f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4"/>
    </row>
    <row r="28" spans="1:13" ht="33.75" customHeight="1" x14ac:dyDescent="0.25">
      <c r="A28" s="55" t="s">
        <v>105</v>
      </c>
      <c r="B28" s="62">
        <v>2001</v>
      </c>
      <c r="C28" s="55"/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</row>
    <row r="29" spans="1:13" x14ac:dyDescent="0.25">
      <c r="A29" s="55"/>
      <c r="B29" s="55"/>
      <c r="C29" s="55"/>
      <c r="D29" s="83"/>
      <c r="E29" s="83"/>
      <c r="F29" s="83"/>
      <c r="G29" s="83"/>
      <c r="H29" s="83"/>
      <c r="I29" s="83"/>
      <c r="J29" s="83"/>
      <c r="K29" s="83"/>
      <c r="L29" s="83"/>
    </row>
    <row r="30" spans="1:13" ht="18.75" customHeight="1" x14ac:dyDescent="0.3">
      <c r="A30" s="60"/>
      <c r="D30" s="85">
        <f>'3'!BA67-'4'!D12</f>
        <v>0</v>
      </c>
      <c r="E30" s="87">
        <f>'3 (2)'!BA37-'4'!E12</f>
        <v>0</v>
      </c>
      <c r="F30" s="87">
        <f>'3 (3)'!BA37-'4'!F12</f>
        <v>0</v>
      </c>
    </row>
    <row r="31" spans="1:13" x14ac:dyDescent="0.25">
      <c r="E31" s="86"/>
      <c r="F31" s="86"/>
    </row>
    <row r="32" spans="1:13" x14ac:dyDescent="0.25">
      <c r="E32" s="86"/>
      <c r="F32" s="86"/>
    </row>
    <row r="33" spans="5:6" x14ac:dyDescent="0.25">
      <c r="E33" s="86"/>
      <c r="F33" s="86"/>
    </row>
    <row r="34" spans="5:6" x14ac:dyDescent="0.25">
      <c r="E34" s="86"/>
      <c r="F34" s="86"/>
    </row>
    <row r="35" spans="5:6" x14ac:dyDescent="0.25">
      <c r="E35" s="86"/>
      <c r="F35" s="86"/>
    </row>
    <row r="36" spans="5:6" x14ac:dyDescent="0.25">
      <c r="E36" s="86"/>
      <c r="F36" s="86"/>
    </row>
    <row r="37" spans="5:6" x14ac:dyDescent="0.25">
      <c r="E37" s="86"/>
      <c r="F37" s="86"/>
    </row>
    <row r="38" spans="5:6" x14ac:dyDescent="0.25">
      <c r="E38" s="86"/>
      <c r="F38" s="86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51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view="pageBreakPreview" zoomScale="73" zoomScaleNormal="100" zoomScaleSheetLayoutView="73" workbookViewId="0">
      <selection activeCell="E24" sqref="E24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8" t="s">
        <v>106</v>
      </c>
      <c r="B1" s="208"/>
      <c r="C1" s="208"/>
    </row>
    <row r="2" spans="1:4" ht="18.75" x14ac:dyDescent="0.3">
      <c r="A2" s="208" t="s">
        <v>107</v>
      </c>
      <c r="B2" s="208"/>
      <c r="C2" s="208"/>
      <c r="D2" s="9" t="s">
        <v>142</v>
      </c>
    </row>
    <row r="3" spans="1:4" ht="18.75" x14ac:dyDescent="0.3">
      <c r="A3" s="208" t="s">
        <v>279</v>
      </c>
      <c r="B3" s="208"/>
      <c r="C3" s="208"/>
    </row>
    <row r="4" spans="1:4" ht="18.75" x14ac:dyDescent="0.3">
      <c r="A4" s="208" t="s">
        <v>108</v>
      </c>
      <c r="B4" s="208"/>
      <c r="C4" s="208"/>
    </row>
    <row r="5" spans="1:4" ht="18.75" x14ac:dyDescent="0.3">
      <c r="A5" s="60"/>
    </row>
    <row r="6" spans="1:4" ht="15.75" x14ac:dyDescent="0.2">
      <c r="A6" s="276" t="s">
        <v>0</v>
      </c>
      <c r="B6" s="276" t="s">
        <v>1</v>
      </c>
      <c r="C6" s="61" t="s">
        <v>109</v>
      </c>
    </row>
    <row r="7" spans="1:4" ht="50.25" customHeight="1" x14ac:dyDescent="0.2">
      <c r="A7" s="276"/>
      <c r="B7" s="276"/>
      <c r="C7" s="61" t="s">
        <v>110</v>
      </c>
    </row>
    <row r="8" spans="1:4" ht="15.75" x14ac:dyDescent="0.2">
      <c r="A8" s="61">
        <v>1</v>
      </c>
      <c r="B8" s="61">
        <v>2</v>
      </c>
      <c r="C8" s="61">
        <v>3</v>
      </c>
    </row>
    <row r="9" spans="1:4" ht="27" customHeight="1" x14ac:dyDescent="0.2">
      <c r="A9" s="55" t="s">
        <v>22</v>
      </c>
      <c r="B9" s="61">
        <v>10</v>
      </c>
      <c r="C9" s="74">
        <v>0</v>
      </c>
    </row>
    <row r="10" spans="1:4" ht="27" customHeight="1" x14ac:dyDescent="0.2">
      <c r="A10" s="55" t="s">
        <v>24</v>
      </c>
      <c r="B10" s="61">
        <v>20</v>
      </c>
      <c r="C10" s="74">
        <v>0</v>
      </c>
    </row>
    <row r="11" spans="1:4" ht="27" customHeight="1" x14ac:dyDescent="0.2">
      <c r="A11" s="55" t="s">
        <v>111</v>
      </c>
      <c r="B11" s="61">
        <v>30</v>
      </c>
      <c r="C11" s="74">
        <v>0</v>
      </c>
    </row>
    <row r="12" spans="1:4" ht="27" customHeight="1" x14ac:dyDescent="0.2">
      <c r="A12" s="55"/>
      <c r="B12" s="55"/>
      <c r="C12" s="74"/>
    </row>
    <row r="13" spans="1:4" ht="27" customHeight="1" x14ac:dyDescent="0.2">
      <c r="A13" s="55" t="s">
        <v>112</v>
      </c>
      <c r="B13" s="61">
        <v>40</v>
      </c>
      <c r="C13" s="74">
        <v>0</v>
      </c>
    </row>
    <row r="14" spans="1:4" ht="15.75" x14ac:dyDescent="0.2">
      <c r="A14" s="55"/>
      <c r="B14" s="55"/>
      <c r="C14" s="74"/>
    </row>
    <row r="15" spans="1:4" ht="18.75" x14ac:dyDescent="0.3">
      <c r="A15" s="60"/>
    </row>
    <row r="16" spans="1:4" ht="11.25" customHeight="1" x14ac:dyDescent="0.3">
      <c r="A16" s="60"/>
    </row>
    <row r="17" spans="1:3" ht="11.25" customHeight="1" x14ac:dyDescent="0.3">
      <c r="A17" s="63"/>
    </row>
    <row r="18" spans="1:3" ht="18.75" x14ac:dyDescent="0.3">
      <c r="A18" s="208" t="s">
        <v>113</v>
      </c>
      <c r="B18" s="208"/>
      <c r="C18" s="208"/>
    </row>
    <row r="19" spans="1:3" ht="12.75" customHeight="1" x14ac:dyDescent="0.3">
      <c r="A19" s="52"/>
    </row>
    <row r="20" spans="1:3" ht="30.75" customHeight="1" x14ac:dyDescent="0.2">
      <c r="A20" s="276" t="s">
        <v>0</v>
      </c>
      <c r="B20" s="276" t="s">
        <v>1</v>
      </c>
      <c r="C20" s="61" t="s">
        <v>114</v>
      </c>
    </row>
    <row r="21" spans="1:3" ht="15.75" x14ac:dyDescent="0.2">
      <c r="A21" s="276"/>
      <c r="B21" s="276"/>
      <c r="C21" s="61" t="s">
        <v>115</v>
      </c>
    </row>
    <row r="22" spans="1:3" ht="15.75" x14ac:dyDescent="0.2">
      <c r="A22" s="61">
        <v>1</v>
      </c>
      <c r="B22" s="61">
        <v>2</v>
      </c>
      <c r="C22" s="61">
        <v>3</v>
      </c>
    </row>
    <row r="23" spans="1:3" ht="15.75" x14ac:dyDescent="0.2">
      <c r="A23" s="55" t="s">
        <v>116</v>
      </c>
      <c r="B23" s="61">
        <v>10</v>
      </c>
      <c r="C23" s="74">
        <v>0</v>
      </c>
    </row>
    <row r="24" spans="1:3" ht="90" customHeight="1" x14ac:dyDescent="0.2">
      <c r="A24" s="70" t="s">
        <v>117</v>
      </c>
      <c r="B24" s="61">
        <v>20</v>
      </c>
      <c r="C24" s="74">
        <v>0</v>
      </c>
    </row>
    <row r="25" spans="1:3" ht="18.75" x14ac:dyDescent="0.3">
      <c r="A25" s="63"/>
    </row>
    <row r="26" spans="1:3" s="65" customFormat="1" ht="19.5" customHeight="1" x14ac:dyDescent="0.2">
      <c r="A26" s="68" t="s">
        <v>119</v>
      </c>
    </row>
    <row r="27" spans="1:3" s="65" customFormat="1" ht="19.5" customHeight="1" x14ac:dyDescent="0.2">
      <c r="A27" s="67" t="s">
        <v>118</v>
      </c>
    </row>
    <row r="28" spans="1:3" s="65" customFormat="1" ht="15.75" x14ac:dyDescent="0.2">
      <c r="A28" s="66" t="s">
        <v>120</v>
      </c>
      <c r="B28" s="76" t="s">
        <v>129</v>
      </c>
      <c r="C28" s="76" t="s">
        <v>129</v>
      </c>
    </row>
    <row r="29" spans="1:3" s="65" customFormat="1" ht="21" customHeight="1" x14ac:dyDescent="0.2">
      <c r="A29" s="66"/>
      <c r="B29" s="66" t="s">
        <v>121</v>
      </c>
      <c r="C29" s="66" t="s">
        <v>122</v>
      </c>
    </row>
    <row r="30" spans="1:3" s="65" customFormat="1" ht="10.5" customHeight="1" x14ac:dyDescent="0.2">
      <c r="A30" s="66"/>
    </row>
    <row r="31" spans="1:3" ht="15.75" x14ac:dyDescent="0.25">
      <c r="A31" s="64" t="s">
        <v>174</v>
      </c>
      <c r="B31" s="69"/>
      <c r="C31" s="75" t="s">
        <v>175</v>
      </c>
    </row>
    <row r="32" spans="1:3" ht="16.5" customHeight="1" x14ac:dyDescent="0.25">
      <c r="A32" s="64"/>
      <c r="B32" s="66" t="s">
        <v>121</v>
      </c>
      <c r="C32" s="66" t="s">
        <v>122</v>
      </c>
    </row>
    <row r="33" spans="1:3" ht="15.75" x14ac:dyDescent="0.25">
      <c r="A33" s="64"/>
    </row>
    <row r="34" spans="1:3" ht="15.75" x14ac:dyDescent="0.25">
      <c r="A34" s="64" t="s">
        <v>123</v>
      </c>
      <c r="B34" s="69"/>
      <c r="C34" s="75" t="s">
        <v>175</v>
      </c>
    </row>
    <row r="35" spans="1:3" ht="18.75" customHeight="1" x14ac:dyDescent="0.25">
      <c r="A35" s="64" t="s">
        <v>178</v>
      </c>
      <c r="B35" s="66" t="s">
        <v>121</v>
      </c>
      <c r="C35" s="66" t="s">
        <v>122</v>
      </c>
    </row>
    <row r="36" spans="1:3" ht="15.75" x14ac:dyDescent="0.25">
      <c r="A36" s="64"/>
    </row>
    <row r="37" spans="1:3" ht="26.25" customHeight="1" x14ac:dyDescent="0.25">
      <c r="A37" s="64" t="s">
        <v>167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тит</vt:lpstr>
      <vt:lpstr>2</vt:lpstr>
      <vt:lpstr>3</vt:lpstr>
      <vt:lpstr>3 (2)</vt:lpstr>
      <vt:lpstr>3 (3)</vt:lpstr>
      <vt:lpstr>4</vt:lpstr>
      <vt:lpstr>5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2020-02-20T11:11:17Z</cp:lastPrinted>
  <dcterms:created xsi:type="dcterms:W3CDTF">2016-04-19T05:14:21Z</dcterms:created>
  <dcterms:modified xsi:type="dcterms:W3CDTF">2020-02-20T11:11:40Z</dcterms:modified>
</cp:coreProperties>
</file>