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2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'3'!$A$113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'3'!$A$1:$BF$139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BC95" i="2" l="1"/>
  <c r="BC97" i="2"/>
  <c r="BC96" i="2"/>
  <c r="BJ112" i="2" l="1"/>
  <c r="BB90" i="2"/>
  <c r="BJ115" i="2"/>
  <c r="BJ114" i="2"/>
  <c r="BB89" i="2"/>
  <c r="BB88" i="2"/>
  <c r="BB80" i="2"/>
  <c r="BB59" i="2"/>
  <c r="BB75" i="2"/>
  <c r="BB34" i="2"/>
  <c r="BB74" i="2"/>
  <c r="BC18" i="2" l="1"/>
  <c r="BB28" i="2" l="1"/>
  <c r="BB56" i="2"/>
  <c r="BB60" i="2"/>
  <c r="BB87" i="2" l="1"/>
  <c r="BB86" i="2"/>
  <c r="BB85" i="2"/>
  <c r="BE103" i="2" l="1"/>
  <c r="BE31" i="2"/>
  <c r="BE27" i="2"/>
  <c r="BC51" i="2"/>
  <c r="BC52" i="2"/>
  <c r="BB32" i="2" l="1"/>
  <c r="BB12" i="2"/>
  <c r="BE110" i="2" l="1"/>
  <c r="BE14" i="2"/>
  <c r="BB72" i="2" l="1"/>
  <c r="BB71" i="2"/>
  <c r="BB70" i="2"/>
  <c r="BE113" i="2" l="1"/>
  <c r="BE109" i="2"/>
  <c r="BE108" i="2"/>
  <c r="BE107" i="2"/>
  <c r="BE105" i="2"/>
  <c r="BE104" i="2"/>
  <c r="BE102" i="2"/>
  <c r="BB79" i="2"/>
  <c r="BB77" i="2"/>
  <c r="BJ111" i="2"/>
  <c r="BJ110" i="2"/>
  <c r="H15" i="5" l="1"/>
  <c r="I15" i="5"/>
  <c r="H16" i="5"/>
  <c r="I16" i="5"/>
  <c r="H17" i="5"/>
  <c r="I17" i="5"/>
  <c r="H18" i="5"/>
  <c r="I18" i="5"/>
  <c r="H19" i="5"/>
  <c r="I19" i="5"/>
  <c r="H21" i="5"/>
  <c r="I21" i="5"/>
  <c r="H22" i="5"/>
  <c r="I22" i="5"/>
  <c r="H23" i="5"/>
  <c r="I23" i="5"/>
  <c r="H24" i="5"/>
  <c r="I24" i="5"/>
  <c r="H25" i="5"/>
  <c r="I25" i="5"/>
  <c r="H26" i="5"/>
  <c r="I26" i="5"/>
  <c r="I14" i="5"/>
  <c r="H14" i="5"/>
  <c r="F18" i="5"/>
  <c r="E18" i="5"/>
  <c r="E12" i="5"/>
  <c r="E16" i="5"/>
  <c r="E17" i="5"/>
  <c r="F17" i="5"/>
  <c r="F26" i="5"/>
  <c r="F25" i="5"/>
  <c r="F22" i="5"/>
  <c r="F16" i="5"/>
  <c r="F14" i="5"/>
  <c r="BB22" i="8"/>
  <c r="BA22" i="8"/>
  <c r="BB37" i="7"/>
  <c r="BB22" i="7"/>
  <c r="H12" i="5" l="1"/>
  <c r="I12" i="5"/>
  <c r="C12" i="4"/>
  <c r="C10" i="4"/>
  <c r="C9" i="4"/>
  <c r="C24" i="4"/>
  <c r="C21" i="4"/>
  <c r="C20" i="4"/>
  <c r="C19" i="4"/>
  <c r="C16" i="4"/>
  <c r="C13" i="4"/>
  <c r="C6" i="4"/>
  <c r="BE122" i="2" l="1"/>
  <c r="BE121" i="2"/>
  <c r="BE120" i="2"/>
  <c r="BB31" i="2" l="1"/>
  <c r="E26" i="5" l="1"/>
  <c r="E25" i="5"/>
  <c r="E22" i="5"/>
  <c r="E14" i="5"/>
  <c r="BA47" i="7"/>
  <c r="BA46" i="7"/>
  <c r="BA45" i="7"/>
  <c r="BA44" i="7"/>
  <c r="BA43" i="7"/>
  <c r="BA42" i="7"/>
  <c r="BA41" i="7"/>
  <c r="BA40" i="7"/>
  <c r="BE37" i="7"/>
  <c r="BC37" i="7"/>
  <c r="BA37" i="7"/>
  <c r="BA36" i="7"/>
  <c r="BA33" i="7"/>
  <c r="BB32" i="7"/>
  <c r="BA32" i="7" s="1"/>
  <c r="BA29" i="7" s="1"/>
  <c r="BA31" i="7"/>
  <c r="BF29" i="7"/>
  <c r="BE29" i="7"/>
  <c r="BD29" i="7"/>
  <c r="BC29" i="7"/>
  <c r="BA28" i="7"/>
  <c r="BF26" i="7"/>
  <c r="BE26" i="7"/>
  <c r="BD26" i="7"/>
  <c r="BC26" i="7"/>
  <c r="BB26" i="7"/>
  <c r="BA26" i="7"/>
  <c r="BA25" i="7"/>
  <c r="BC24" i="7"/>
  <c r="BA24" i="7"/>
  <c r="BA23" i="7"/>
  <c r="BA21" i="7" s="1"/>
  <c r="BA20" i="7" s="1"/>
  <c r="BA22" i="7"/>
  <c r="BF21" i="7"/>
  <c r="BE21" i="7"/>
  <c r="BE20" i="7" s="1"/>
  <c r="BE19" i="7" s="1"/>
  <c r="BE48" i="7" s="1"/>
  <c r="BD21" i="7"/>
  <c r="BD20" i="7" s="1"/>
  <c r="BD19" i="7" s="1"/>
  <c r="BD48" i="7" s="1"/>
  <c r="BC21" i="7"/>
  <c r="BB21" i="7"/>
  <c r="BB20" i="7" s="1"/>
  <c r="BF20" i="7"/>
  <c r="BF19" i="7" s="1"/>
  <c r="BF48" i="7" s="1"/>
  <c r="BC20" i="7"/>
  <c r="BC19" i="7" s="1"/>
  <c r="BC48" i="7" s="1"/>
  <c r="BA17" i="7"/>
  <c r="BA16" i="7"/>
  <c r="BA15" i="7"/>
  <c r="BA14" i="7"/>
  <c r="BA13" i="7"/>
  <c r="BA12" i="7"/>
  <c r="BA11" i="7"/>
  <c r="BA10" i="7"/>
  <c r="BA9" i="7" s="1"/>
  <c r="BF9" i="7"/>
  <c r="BE9" i="7"/>
  <c r="BD9" i="7"/>
  <c r="BC9" i="7"/>
  <c r="BB9" i="7"/>
  <c r="BB20" i="8"/>
  <c r="BB19" i="8" s="1"/>
  <c r="BB32" i="8"/>
  <c r="BB21" i="8"/>
  <c r="BC21" i="8"/>
  <c r="BD21" i="8"/>
  <c r="BE21" i="8"/>
  <c r="BF21" i="8"/>
  <c r="BA21" i="8"/>
  <c r="BA25" i="8"/>
  <c r="BE37" i="8"/>
  <c r="BC34" i="2"/>
  <c r="BD34" i="2"/>
  <c r="BE34" i="2"/>
  <c r="BF34" i="2"/>
  <c r="BB27" i="2"/>
  <c r="BA19" i="7" l="1"/>
  <c r="BG9" i="7"/>
  <c r="BA48" i="7"/>
  <c r="BB29" i="7"/>
  <c r="BB19" i="7" s="1"/>
  <c r="BB48" i="7" s="1"/>
  <c r="BC37" i="8" l="1"/>
  <c r="BC24" i="8"/>
  <c r="BC9" i="2" l="1"/>
  <c r="BA19" i="2"/>
  <c r="BE50" i="2" l="1"/>
  <c r="BE100" i="2" l="1"/>
  <c r="BJ108" i="2" l="1"/>
  <c r="BJ117" i="2"/>
  <c r="BJ113" i="2" l="1"/>
  <c r="BE61" i="2" l="1"/>
  <c r="BC50" i="2" l="1"/>
  <c r="C14" i="4" l="1"/>
  <c r="C7" i="4"/>
  <c r="BJ109" i="2" l="1"/>
  <c r="BB64" i="2" l="1"/>
  <c r="BB42" i="2"/>
  <c r="BI107" i="2" l="1"/>
  <c r="BI114" i="2"/>
  <c r="BE10" i="2"/>
  <c r="BI119" i="2"/>
  <c r="BJ119" i="2"/>
  <c r="BJ118" i="2"/>
  <c r="BI118" i="2"/>
  <c r="BJ116" i="2"/>
  <c r="BI116" i="2"/>
  <c r="BI115" i="2"/>
  <c r="BI113" i="2"/>
  <c r="BI112" i="2"/>
  <c r="BJ107" i="2"/>
  <c r="F12" i="5"/>
  <c r="J12" i="5"/>
  <c r="K12" i="5"/>
  <c r="L12" i="5"/>
  <c r="E30" i="5"/>
  <c r="BK119" i="2" l="1"/>
  <c r="D19" i="5" s="1"/>
  <c r="G19" i="5" s="1"/>
  <c r="BI111" i="2"/>
  <c r="BK116" i="2"/>
  <c r="D24" i="5" s="1"/>
  <c r="G24" i="5" s="1"/>
  <c r="BK115" i="2"/>
  <c r="D23" i="5" s="1"/>
  <c r="G23" i="5" s="1"/>
  <c r="BK118" i="2"/>
  <c r="D27" i="5" s="1"/>
  <c r="G27" i="5" s="1"/>
  <c r="BA47" i="8"/>
  <c r="BA46" i="8"/>
  <c r="BA45" i="8"/>
  <c r="BA44" i="8"/>
  <c r="BA43" i="8"/>
  <c r="BA42" i="8"/>
  <c r="BA41" i="8"/>
  <c r="BA40" i="8"/>
  <c r="BA37" i="8"/>
  <c r="F30" i="5" s="1"/>
  <c r="BA36" i="8"/>
  <c r="BA33" i="8"/>
  <c r="BA32" i="8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0" i="8" s="1"/>
  <c r="BA23" i="8"/>
  <c r="BF20" i="8"/>
  <c r="BF19" i="8" s="1"/>
  <c r="BF48" i="8" s="1"/>
  <c r="BE20" i="8"/>
  <c r="BD20" i="8"/>
  <c r="BD19" i="8" s="1"/>
  <c r="BD48" i="8" s="1"/>
  <c r="BC20" i="8"/>
  <c r="BC19" i="8" s="1"/>
  <c r="BA17" i="8"/>
  <c r="BA16" i="8"/>
  <c r="BA15" i="8"/>
  <c r="BA14" i="8"/>
  <c r="BA13" i="8"/>
  <c r="BA12" i="8"/>
  <c r="BA11" i="8"/>
  <c r="BA10" i="8"/>
  <c r="BF9" i="8"/>
  <c r="BE9" i="8"/>
  <c r="BD9" i="8"/>
  <c r="BB9" i="8"/>
  <c r="BA29" i="8" l="1"/>
  <c r="BE19" i="8"/>
  <c r="BE48" i="8" s="1"/>
  <c r="BB48" i="8"/>
  <c r="BA9" i="8"/>
  <c r="BC9" i="8"/>
  <c r="BC48" i="8" s="1"/>
  <c r="BA139" i="2"/>
  <c r="BA138" i="2"/>
  <c r="BA137" i="2"/>
  <c r="BA136" i="2"/>
  <c r="BA135" i="2"/>
  <c r="BA134" i="2"/>
  <c r="BA133" i="2"/>
  <c r="BH132" i="2"/>
  <c r="BA132" i="2"/>
  <c r="BJ128" i="2"/>
  <c r="BJ139" i="2"/>
  <c r="BI138" i="2"/>
  <c r="BJ138" i="2"/>
  <c r="BJ137" i="2"/>
  <c r="BI110" i="2"/>
  <c r="BB68" i="2"/>
  <c r="BA67" i="2"/>
  <c r="BB61" i="2"/>
  <c r="BE60" i="2"/>
  <c r="BE57" i="2" s="1"/>
  <c r="BB57" i="2"/>
  <c r="BB54" i="2"/>
  <c r="BA54" i="2" s="1"/>
  <c r="BA50" i="2"/>
  <c r="BF48" i="2"/>
  <c r="BD48" i="2"/>
  <c r="BC48" i="2"/>
  <c r="BA47" i="2"/>
  <c r="BA45" i="2" s="1"/>
  <c r="BF45" i="2"/>
  <c r="BE45" i="2"/>
  <c r="BD45" i="2"/>
  <c r="BC45" i="2"/>
  <c r="BB45" i="2"/>
  <c r="BA42" i="2"/>
  <c r="BA34" i="2"/>
  <c r="B32" i="2"/>
  <c r="BB26" i="2"/>
  <c r="BF26" i="2"/>
  <c r="BF25" i="2" s="1"/>
  <c r="BD26" i="2"/>
  <c r="BD25" i="2" s="1"/>
  <c r="BC26" i="2"/>
  <c r="BC25" i="2" s="1"/>
  <c r="BA23" i="2"/>
  <c r="BA18" i="2"/>
  <c r="BA17" i="2"/>
  <c r="BA16" i="2"/>
  <c r="BA15" i="2"/>
  <c r="BE11" i="2"/>
  <c r="BB11" i="2"/>
  <c r="BB9" i="2" s="1"/>
  <c r="BA10" i="2"/>
  <c r="BF9" i="2"/>
  <c r="BD9" i="2"/>
  <c r="BA19" i="8" l="1"/>
  <c r="BG9" i="8" s="1"/>
  <c r="BI117" i="2"/>
  <c r="BK117" i="2" s="1"/>
  <c r="D25" i="5" s="1"/>
  <c r="G25" i="5" s="1"/>
  <c r="BI109" i="2"/>
  <c r="BJ120" i="2"/>
  <c r="BI137" i="2"/>
  <c r="BL119" i="2" s="1"/>
  <c r="BA27" i="2"/>
  <c r="BL120" i="2"/>
  <c r="BC68" i="2"/>
  <c r="BC24" i="2" s="1"/>
  <c r="BC142" i="2" s="1"/>
  <c r="BE48" i="2"/>
  <c r="BA61" i="2"/>
  <c r="BF24" i="2"/>
  <c r="BF142" i="2" s="1"/>
  <c r="BA31" i="2"/>
  <c r="BK108" i="2"/>
  <c r="D26" i="5" s="1"/>
  <c r="G26" i="5" s="1"/>
  <c r="BK110" i="2"/>
  <c r="D17" i="5" s="1"/>
  <c r="G17" i="5" s="1"/>
  <c r="BE9" i="2"/>
  <c r="BE68" i="2"/>
  <c r="BK112" i="2"/>
  <c r="D15" i="5" s="1"/>
  <c r="G15" i="5" s="1"/>
  <c r="BK114" i="2"/>
  <c r="D22" i="5" s="1"/>
  <c r="G22" i="5" s="1"/>
  <c r="BJ140" i="2"/>
  <c r="BK113" i="2"/>
  <c r="D21" i="5" s="1"/>
  <c r="G21" i="5" s="1"/>
  <c r="BA57" i="2"/>
  <c r="BA20" i="2"/>
  <c r="BD24" i="2"/>
  <c r="BD142" i="2" s="1"/>
  <c r="BK107" i="2"/>
  <c r="D14" i="5" s="1"/>
  <c r="G14" i="5" s="1"/>
  <c r="BK111" i="2"/>
  <c r="D18" i="5" s="1"/>
  <c r="G18" i="5" s="1"/>
  <c r="BI139" i="2"/>
  <c r="BL121" i="2" s="1"/>
  <c r="BA11" i="2"/>
  <c r="BE26" i="2"/>
  <c r="BE25" i="2" s="1"/>
  <c r="BB48" i="2"/>
  <c r="BB25" i="2"/>
  <c r="BA48" i="8" l="1"/>
  <c r="BA9" i="2"/>
  <c r="BA68" i="2"/>
  <c r="BI120" i="2"/>
  <c r="BI121" i="2" s="1"/>
  <c r="BJ121" i="2"/>
  <c r="BA26" i="2"/>
  <c r="BA25" i="2" s="1"/>
  <c r="BE24" i="2"/>
  <c r="BE142" i="2" s="1"/>
  <c r="BB24" i="2"/>
  <c r="BB142" i="2" s="1"/>
  <c r="BA48" i="2"/>
  <c r="BK109" i="2"/>
  <c r="BI140" i="2"/>
  <c r="BL122" i="2" s="1"/>
  <c r="BA24" i="2" l="1"/>
  <c r="BK120" i="2"/>
  <c r="BK121" i="2" s="1"/>
  <c r="D16" i="5"/>
  <c r="BI141" i="2"/>
  <c r="D12" i="5" l="1"/>
  <c r="D30" i="5" s="1"/>
  <c r="G16" i="5"/>
  <c r="BA142" i="2"/>
  <c r="BG7" i="2"/>
  <c r="G12" i="5" l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<sst xmlns="http://schemas.openxmlformats.org/spreadsheetml/2006/main" count="626" uniqueCount="296">
  <si>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</si>
  <si>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</si>
  <si>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</si>
  <si>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</si>
  <si>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</si>
  <si>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</si>
  <si>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</si>
  <si>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</si>
  <si>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</si>
  <si>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</si>
  <si>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</si>
  <si>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</si>
  <si>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</si>
  <si>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</si>
  <si>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</si>
  <si>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</si>
  <si>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</si>
  <si>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</si>
  <si>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</si>
  <si>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</si>
  <si>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</si>
  <si>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</si>
  <si>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</si>
  <si>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</si>
  <si>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</si>
  <si>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</si>
  <si>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</si>
  <si>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</si>
  <si>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</si>
  <si>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</si>
  <si>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</si>
  <si>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</si>
  <si>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</si>
  <si>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</si>
  <si>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</si>
  <si>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</si>
  <si>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</si>
  <si>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</si>
  <si>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</si>
  <si>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</si>
  <si>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</si>
  <si>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</si>
  <si>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</si>
  <si>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</si>
  <si>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</si>
  <si>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</si>
  <si>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</si>
  <si>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</si>
  <si>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</si>
  <si>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</si>
  <si>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</si>
  <si>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</si>
  <si>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</si>
  <si>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</si>
  <si>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</si>
  <si>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</si>
  <si>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</si>
  <si>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</si>
  <si>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</si>
  <si>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</si>
  <si>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</si>
  <si>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</si>
  <si>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</si>
  <si>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</si>
  <si>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</si>
  <si>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</si>
  <si>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</si>
  <si>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</si>
  <si>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</si>
  <si>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</si>
  <si>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</si>
  <si>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</si>
  <si>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</si>
  <si>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</si>
  <si>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</si>
  <si>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</si>
  <si>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</si>
  <si>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</si>
  <si>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</si>
  <si>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</si>
  <si>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</si>
  <si>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</si>
  <si>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</si>
  <si>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</si>
  <si>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</si>
  <si>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</si>
  <si>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</si>
  <si>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</si>
  <si>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</si>
  <si>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</si>
  <si>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</si>
  <si>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</si>
  <si>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</si>
  <si>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</si>
  <si>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</si>
  <si>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</si>
  <si>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</si>
  <si>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</si>
  <si>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</si>
  <si>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</si>
  <si>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</si>
  <si>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</si>
  <si>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</si>
  <si>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</si>
  <si>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</si>
  <si>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</si>
  <si>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</si>
  <si>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</si>
  <si>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</si>
  <si>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</si>
  <si>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</si>
  <si>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</si>
  <si>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</si>
  <si>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</si>
  <si>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</si>
  <si>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</si>
  <si>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</si>
  <si>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</si>
  <si>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</si>
  <si>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</si>
  <si>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</si>
  <si>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</si>
  <si>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</si>
  <si>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</si>
  <si>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</si>
  <si>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</si>
  <si>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</si>
  <si>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</si>
  <si>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</si>
  <si>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</si>
  <si>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</si>
  <si>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</si>
  <si>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</si>
  <si>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</si>
  <si>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</si>
  <si>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</si>
  <si>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</si>
  <si>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</si>
  <si>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</si>
  <si>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</si>
  <si>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</si>
  <si>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</si>
  <si>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</si>
  <si>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</si>
  <si>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</si>
  <si>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</si>
  <si>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</si>
  <si>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</si>
  <si>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</si>
  <si>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</si>
  <si>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</si>
  <si>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</si>
  <si>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</si>
  <si>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</si>
  <si>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</si>
  <si>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</si>
  <si>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</si>
  <si>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</si>
  <si>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</si>
  <si>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</si>
  <si>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</si>
  <si>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</si>
  <si>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</si>
  <si>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</si>
  <si>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</si>
  <si>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</si>
  <si>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</si>
  <si>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</si>
  <si>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</si>
  <si>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</si>
  <si>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</si>
  <si>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</si>
  <si>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</si>
  <si>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</si>
  <si>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</si>
  <si>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</si>
  <si>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</si>
  <si>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</si>
  <si>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</si>
  <si>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t>косгу 211</t>
  </si>
  <si>
    <t>косгу 213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</si>
  <si>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</si>
  <si>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</si>
  <si>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</si>
  <si>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</si>
  <si>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</si>
  <si>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</si>
  <si>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</si>
  <si>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</si>
  <si>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</si>
  <si>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</si>
  <si>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</si>
  <si>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</si>
  <si>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266</t>
  </si>
  <si>
    <t>косгу 266</t>
  </si>
  <si>
    <t>346</t>
  </si>
  <si>
    <t>349</t>
  </si>
  <si>
    <t>152</t>
  </si>
  <si>
    <t>косгу 212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</si>
  <si>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</si>
  <si>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</si>
  <si>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</si>
  <si>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</si>
  <si>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</si>
  <si>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</si>
  <si>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</si>
  <si>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</si>
  <si>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</si>
  <si>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</si>
  <si>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</si>
  <si>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</si>
  <si>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</si>
  <si>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</si>
  <si>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</si>
  <si>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</si>
  <si>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</si>
  <si>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</si>
  <si>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</si>
  <si>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</si>
  <si>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</si>
  <si>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</si>
  <si>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</si>
  <si>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</si>
  <si>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</si>
  <si>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</si>
  <si>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</si>
  <si>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</si>
  <si>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</si>
  <si>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</si>
  <si>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</si>
  <si>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</si>
  <si>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</si>
  <si>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</si>
  <si>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</si>
  <si>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</si>
  <si>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</si>
  <si>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</si>
  <si>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</si>
  <si>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</si>
  <si>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форма 730= (стр.190)</t>
  </si>
  <si>
    <t>формы 768= (стр.311)</t>
  </si>
  <si>
    <t>формы 768=( стр.311-стр.321)</t>
  </si>
  <si>
    <t>формы 768= (стр.312)</t>
  </si>
  <si>
    <t>формы 768=(стр.312- стр.322)</t>
  </si>
  <si>
    <t xml:space="preserve"> форма 730 =(стр.340)</t>
  </si>
  <si>
    <t xml:space="preserve"> форма 730=( стр.200)</t>
  </si>
  <si>
    <t>форма 730=( стр.201)</t>
  </si>
  <si>
    <t xml:space="preserve"> форма 730 =(стр.250 - стр.470)</t>
  </si>
  <si>
    <t xml:space="preserve"> форма 730= (стр.260+стр.270+стр.280)</t>
  </si>
  <si>
    <t>форма 730=( стр.550)</t>
  </si>
  <si>
    <t>форма 730=(стр.410+ стр.420)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</si>
  <si>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</si>
  <si>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>налог на прибыль - резерная сумма - в конце года убираем?!</t>
  </si>
  <si>
    <t>косгу 293</t>
  </si>
  <si>
    <t>по требованию -пени тэку, самараэнерго ИФО 2001</t>
  </si>
  <si>
    <t>2019 - аренда</t>
  </si>
  <si>
    <t>4000, 4291, 2001</t>
  </si>
  <si>
    <t>ИФО 2001 - налог на прибыль /  2006, 2009, 2010, 2026</t>
  </si>
  <si>
    <t>КОМАНДРОВКИ сотрудники</t>
  </si>
  <si>
    <t>косгу 297 - возм.судебн.расходов - госпошлина по иску</t>
  </si>
  <si>
    <t>косгу 293 - % по исп.докам</t>
  </si>
  <si>
    <t>с одним дес.знаком после запятой!!!</t>
  </si>
  <si>
    <t>косгу 293, 292</t>
  </si>
  <si>
    <t>косгу 292</t>
  </si>
  <si>
    <t>штраф пфр</t>
  </si>
  <si>
    <t>штраф пфр по исп.листу</t>
  </si>
  <si>
    <t>возврат фсс изл упл бл</t>
  </si>
  <si>
    <t>косгу 297</t>
  </si>
  <si>
    <t>мусоросборник</t>
  </si>
  <si>
    <t>162</t>
  </si>
  <si>
    <t>поступления капитального характера бюджетным и автономным учреждениям от сектора государственного управления</t>
  </si>
  <si>
    <t>иные субсидии КВФО 5 мусоросборник</t>
  </si>
  <si>
    <t>План финансово-хозяйственной деятельности на 2020 год 
и плановый период 2021-2022 г.г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</si>
  <si>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2020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</si>
  <si>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2022 г.</t>
    </r>
  </si>
  <si>
    <t>на   ____.______.2020.</t>
  </si>
  <si>
    <t>на 2020 г. очередной финансовый год</t>
  </si>
  <si>
    <t>на 2021 г. 1-ый год планового периода</t>
  </si>
  <si>
    <t>на 2022 г. 2-ой год планового периода</t>
  </si>
  <si>
    <t>на  _____.____.2020 г.</t>
  </si>
  <si>
    <t>ПОСОБИЛЕ ДО 3л</t>
  </si>
  <si>
    <t>ПОСОБИЕ ДО 1,5л</t>
  </si>
  <si>
    <t>К4000  ВЫЕЗДНЫЕ СОРЕВН - СОТРУДНИКОВ - КОСГУ 212</t>
  </si>
  <si>
    <t xml:space="preserve">К4000  ВЫЕЗДНЫЕ СОРЕВН - СОТРУДНИКОВ  КОСГУ 226
</t>
  </si>
  <si>
    <t xml:space="preserve">К2001 КОМАНДИРОВКИ СОТРУДНИКОВ КОСГУ 212 -  </t>
  </si>
  <si>
    <t xml:space="preserve">К2001 КОМАНДИРОВКИ СОТРУДНИКОВ  КОСГУ 226 - 
</t>
  </si>
  <si>
    <t xml:space="preserve">косгу 291 </t>
  </si>
  <si>
    <t>ОСТАТКИ НА 01.01.20</t>
  </si>
  <si>
    <t>Руководитель управления физической культуры и спорта администрации городского округа Тольятти</t>
  </si>
  <si>
    <t>А.Е. Герунов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</si>
  <si>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4 471 113,98руб.
в том числе:
- балансовая стоимость особо ценного движимого имущества: 3 587 107,47руб.
</t>
  </si>
  <si>
    <t>на 01.01.2020г.</t>
  </si>
  <si>
    <t>Директор
МБУДО СДЮСШОР № 4 "Шахматы"</t>
  </si>
  <si>
    <t>Г.Р. Салахова</t>
  </si>
  <si>
    <t xml:space="preserve">К4000  мед.осмотр возмещ.при устр-ве СОТРУДНИКОВ  КОСГУ 226
</t>
  </si>
  <si>
    <t>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</si>
</sst>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  <numFmt numFmtId="167" formatCode="_-* #,##0.0\ _₽_-;\-* #,##0.0\ _₽_-;_-* &quot;-&quot;?\ _₽_-;_-@_-"/>
  </numFmts>
  <fonts count="31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9" fillId="0" borderId="0" xfId="0" applyFont="1"/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/>
    <xf numFmtId="4" fontId="9" fillId="0" borderId="0" xfId="0" applyNumberFormat="1" applyFont="1" applyFill="1" applyBorder="1" applyAlignment="1">
      <alignment vertical="top" wrapText="1"/>
    </xf>
    <xf numFmtId="167" fontId="9" fillId="0" borderId="15" xfId="0" applyNumberFormat="1" applyFont="1" applyBorder="1" applyAlignment="1">
      <alignment vertical="top" wrapText="1"/>
    </xf>
    <xf numFmtId="167" fontId="14" fillId="0" borderId="15" xfId="0" applyNumberFormat="1" applyFont="1" applyBorder="1" applyAlignment="1">
      <alignment vertical="top" wrapText="1"/>
    </xf>
    <xf numFmtId="167" fontId="28" fillId="0" borderId="15" xfId="0" applyNumberFormat="1" applyFont="1" applyBorder="1" applyAlignment="1">
      <alignment vertical="top" wrapText="1"/>
    </xf>
    <xf numFmtId="167" fontId="14" fillId="0" borderId="15" xfId="0" applyNumberFormat="1" applyFont="1" applyFill="1" applyBorder="1" applyAlignment="1">
      <alignment vertical="top" wrapText="1"/>
    </xf>
    <xf numFmtId="0" fontId="30" fillId="0" borderId="0" xfId="0" applyFont="1"/>
    <xf numFmtId="0" fontId="11" fillId="0" borderId="15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3" borderId="4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zoomScale="68" zoomScaleNormal="100" zoomScaleSheetLayoutView="68" workbookViewId="0">
      <selection activeCell="DZ33" sqref="DZ33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201" t="s">
        <v>67</v>
      </c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201" t="s">
        <v>52</v>
      </c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118"/>
      <c r="DU1" s="118"/>
      <c r="DV1" s="118"/>
    </row>
    <row r="2" spans="1:155" ht="62.25" customHeight="1" x14ac:dyDescent="0.25">
      <c r="A2" s="29"/>
      <c r="B2" s="29"/>
      <c r="C2" s="29"/>
      <c r="D2" s="29"/>
      <c r="E2" s="29"/>
      <c r="F2" s="29"/>
      <c r="G2" s="206" t="s">
        <v>288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78" t="s">
        <v>292</v>
      </c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18"/>
      <c r="DU2" s="118"/>
      <c r="DV2" s="118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207" t="s">
        <v>68</v>
      </c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207" t="s">
        <v>53</v>
      </c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96" t="s">
        <v>289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96" t="s">
        <v>293</v>
      </c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18"/>
      <c r="DU4" s="118"/>
      <c r="DV4" s="118"/>
      <c r="DW4" s="34"/>
    </row>
    <row r="5" spans="1:155" x14ac:dyDescent="0.2">
      <c r="A5" s="16"/>
      <c r="B5" s="16"/>
      <c r="C5" s="16"/>
      <c r="D5" s="16"/>
      <c r="E5" s="16"/>
      <c r="F5" s="16"/>
      <c r="G5" s="197" t="s">
        <v>54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6"/>
      <c r="W5" s="16"/>
      <c r="X5" s="197" t="s">
        <v>55</v>
      </c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97" t="s">
        <v>54</v>
      </c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6"/>
      <c r="CW5" s="16"/>
      <c r="CX5" s="16"/>
      <c r="CY5" s="16"/>
      <c r="CZ5" s="31" t="s">
        <v>55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19"/>
      <c r="F6" s="18"/>
      <c r="I6" s="119" t="s">
        <v>56</v>
      </c>
      <c r="J6" s="32"/>
      <c r="K6" s="32"/>
      <c r="L6" s="29" t="s">
        <v>56</v>
      </c>
      <c r="M6" s="1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9" t="s">
        <v>65</v>
      </c>
      <c r="AE6" s="199"/>
      <c r="AF6" s="199"/>
      <c r="AG6" s="200"/>
      <c r="AH6" s="200"/>
      <c r="AI6" s="200"/>
      <c r="AJ6" s="201" t="s">
        <v>66</v>
      </c>
      <c r="AK6" s="201"/>
      <c r="AL6" s="29"/>
      <c r="AM6" s="18"/>
      <c r="AN6" s="18"/>
      <c r="AO6" s="18"/>
      <c r="AP6" s="18"/>
      <c r="AQ6" s="29"/>
      <c r="CH6" s="119" t="s">
        <v>56</v>
      </c>
      <c r="CI6" s="202"/>
      <c r="CJ6" s="202"/>
      <c r="CK6" s="202"/>
      <c r="CL6" s="202"/>
      <c r="CM6" s="29" t="s">
        <v>56</v>
      </c>
      <c r="CP6" s="201" t="s">
        <v>124</v>
      </c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3">
        <v>20</v>
      </c>
      <c r="DJ6" s="203"/>
      <c r="DK6" s="203"/>
      <c r="DL6" s="202"/>
      <c r="DM6" s="202"/>
      <c r="DN6" s="202"/>
      <c r="DO6" s="202"/>
      <c r="DP6" s="29" t="s">
        <v>57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204" t="s">
        <v>272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205" t="s">
        <v>58</v>
      </c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19" t="s">
        <v>59</v>
      </c>
      <c r="DJ11" s="193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5"/>
    </row>
    <row r="12" spans="1:155" ht="15.2" customHeight="1" x14ac:dyDescent="0.25">
      <c r="X12" s="34"/>
      <c r="Y12" s="34"/>
      <c r="Z12" s="34"/>
      <c r="AA12" s="34"/>
      <c r="AB12" s="34"/>
      <c r="AC12" s="20"/>
      <c r="AD12" s="190"/>
      <c r="AE12" s="190"/>
      <c r="AF12" s="190"/>
      <c r="AG12" s="190"/>
      <c r="AH12" s="21"/>
      <c r="AI12" s="21"/>
      <c r="AJ12" s="21" t="s">
        <v>56</v>
      </c>
      <c r="AK12" s="21"/>
      <c r="AL12" s="117"/>
      <c r="AM12" s="117"/>
      <c r="AN12" s="117"/>
      <c r="AO12" s="117"/>
      <c r="AP12" s="35" t="s">
        <v>56</v>
      </c>
      <c r="AQ12" s="35"/>
      <c r="AR12" s="35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35">
        <v>20</v>
      </c>
      <c r="BL12" s="192"/>
      <c r="BM12" s="192"/>
      <c r="BN12" s="192"/>
      <c r="BO12" s="192"/>
      <c r="BP12" s="192"/>
      <c r="BQ12" s="192"/>
      <c r="BR12" s="192"/>
      <c r="BS12" s="21" t="s">
        <v>57</v>
      </c>
      <c r="BT12" s="21"/>
      <c r="CT12" s="22"/>
      <c r="DH12" s="119" t="s">
        <v>60</v>
      </c>
      <c r="DJ12" s="193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5"/>
    </row>
    <row r="13" spans="1:155" ht="24" customHeight="1" x14ac:dyDescent="0.25">
      <c r="BH13" s="29"/>
      <c r="CT13" s="22"/>
      <c r="CU13" s="22"/>
      <c r="DH13" s="119"/>
      <c r="DJ13" s="193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5"/>
    </row>
    <row r="14" spans="1:155" ht="15" x14ac:dyDescent="0.25">
      <c r="CT14" s="22"/>
      <c r="CU14" s="22"/>
      <c r="DH14" s="119"/>
      <c r="DJ14" s="193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5"/>
    </row>
    <row r="15" spans="1:155" ht="15.2" customHeight="1" x14ac:dyDescent="0.25">
      <c r="A15" s="177" t="s">
        <v>69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47"/>
      <c r="AM15" s="47"/>
      <c r="AN15" s="47"/>
      <c r="AO15" s="177" t="s">
        <v>126</v>
      </c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23"/>
      <c r="CT15" s="23"/>
      <c r="DH15" s="119" t="s">
        <v>61</v>
      </c>
      <c r="DJ15" s="193" t="s">
        <v>125</v>
      </c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5"/>
    </row>
    <row r="16" spans="1:155" ht="15.2" customHeight="1" x14ac:dyDescent="0.2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47"/>
      <c r="AM16" s="47"/>
      <c r="AN16" s="4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23"/>
      <c r="CT16" s="23"/>
      <c r="CU16" s="22"/>
      <c r="DH16" s="119"/>
      <c r="DJ16" s="193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5"/>
    </row>
    <row r="17" spans="1:165" ht="66" customHeight="1" x14ac:dyDescent="0.2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47"/>
      <c r="AM17" s="47"/>
      <c r="AN17" s="4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23"/>
      <c r="CT17" s="23"/>
      <c r="CU17" s="22"/>
      <c r="DH17" s="24"/>
      <c r="DJ17" s="193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5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19"/>
      <c r="DJ18" s="187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9"/>
    </row>
    <row r="19" spans="1:165" ht="15.2" customHeight="1" x14ac:dyDescent="0.2">
      <c r="A19" s="181" t="s">
        <v>62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48"/>
      <c r="AM19" s="48"/>
      <c r="AN19" s="48"/>
      <c r="AO19" s="182" t="s">
        <v>127</v>
      </c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25"/>
      <c r="CT19" s="25"/>
      <c r="DH19" s="26"/>
      <c r="DJ19" s="183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5"/>
    </row>
    <row r="20" spans="1:165" ht="19.5" customHeight="1" x14ac:dyDescent="0.2">
      <c r="A20" s="181" t="s">
        <v>72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48"/>
      <c r="AM20" s="48"/>
      <c r="AN20" s="48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DH20" s="27" t="s">
        <v>63</v>
      </c>
      <c r="DJ20" s="183" t="s">
        <v>64</v>
      </c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5"/>
    </row>
    <row r="21" spans="1:165" ht="15.2" customHeight="1" x14ac:dyDescent="0.2">
      <c r="A21" s="181" t="s">
        <v>73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48"/>
      <c r="AM21" s="48"/>
      <c r="AN21" s="48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</row>
    <row r="23" spans="1:165" ht="21" customHeight="1" x14ac:dyDescent="0.2">
      <c r="A23" s="177" t="s">
        <v>70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47"/>
      <c r="AM23" s="47"/>
      <c r="AN23" s="47"/>
      <c r="AO23" s="177" t="s">
        <v>172</v>
      </c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47"/>
      <c r="AM24" s="47"/>
      <c r="AN24" s="4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47"/>
      <c r="AM25" s="47"/>
      <c r="AN25" s="4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36"/>
      <c r="AP27" s="36"/>
      <c r="AQ27" s="36"/>
      <c r="AR27" s="36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23"/>
      <c r="DR27" s="23"/>
      <c r="DS27" s="23"/>
      <c r="DT27" s="23"/>
    </row>
    <row r="28" spans="1:165" ht="15.2" hidden="1" customHeight="1" x14ac:dyDescent="0.2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36"/>
      <c r="AP28" s="36"/>
      <c r="AQ28" s="36"/>
      <c r="AR28" s="36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23"/>
      <c r="DR28" s="23"/>
      <c r="DS28" s="23"/>
      <c r="DT28" s="23"/>
    </row>
    <row r="29" spans="1:165" ht="15.2" hidden="1" customHeight="1" x14ac:dyDescent="0.25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36"/>
      <c r="AP29" s="36"/>
      <c r="AQ29" s="36"/>
      <c r="AR29" s="36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179" t="s">
        <v>71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177" t="s">
        <v>128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177" t="s">
        <v>131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78" t="s">
        <v>132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177" t="s">
        <v>251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Z36" s="88" t="s">
        <v>143</v>
      </c>
    </row>
    <row r="37" spans="1:165" ht="70.5" customHeight="1" x14ac:dyDescent="0.2">
      <c r="A37" s="178" t="s">
        <v>290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</row>
    <row r="38" spans="1:165" ht="24.75" customHeight="1" x14ac:dyDescent="0.25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</row>
    <row r="41" spans="1:165" ht="15" x14ac:dyDescent="0.2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</row>
  </sheetData>
  <mergeCells count="57">
    <mergeCell ref="G1:AM1"/>
    <mergeCell ref="CD1:DS1"/>
    <mergeCell ref="G2:AM2"/>
    <mergeCell ref="G3:AM3"/>
    <mergeCell ref="BZ2:DS2"/>
    <mergeCell ref="BZ3:DS3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6"/>
  <sheetViews>
    <sheetView view="pageBreakPreview" zoomScale="77" zoomScaleNormal="100" zoomScaleSheetLayoutView="77" workbookViewId="0">
      <selection activeCell="D11" sqref="D11"/>
    </sheetView>
  </sheetViews>
  <sheetFormatPr defaultRowHeight="24" customHeight="1" x14ac:dyDescent="0.2"/>
  <cols>
    <col min="1" max="1" width="9.140625" style="30"/>
    <col min="2" max="2" width="67.85546875" style="30" customWidth="1"/>
    <col min="3" max="3" width="27.140625" style="30" customWidth="1"/>
    <col min="4" max="4" width="80.42578125" style="162" customWidth="1"/>
    <col min="5" max="6" width="9.140625" style="162"/>
    <col min="7" max="16384" width="9.140625" style="30"/>
  </cols>
  <sheetData>
    <row r="1" spans="1:4" s="30" customFormat="1" ht="24" customHeight="1" x14ac:dyDescent="0.3">
      <c r="A1" s="208" t="s">
        <v>74</v>
      </c>
      <c r="B1" s="208"/>
      <c r="C1" s="208"/>
      <c r="D1" s="162" t="s">
        <v>143</v>
      </c>
    </row>
    <row r="2" spans="1:4" s="30" customFormat="1" ht="24" customHeight="1" x14ac:dyDescent="0.3">
      <c r="A2" s="209" t="s">
        <v>291</v>
      </c>
      <c r="B2" s="209"/>
      <c r="C2" s="209"/>
      <c r="D2" s="162"/>
    </row>
    <row r="3" spans="1:4" s="30" customFormat="1" ht="24" customHeight="1" x14ac:dyDescent="0.3">
      <c r="A3" s="161"/>
      <c r="D3" s="162"/>
    </row>
    <row r="4" spans="1:4" s="30" customFormat="1" ht="24" customHeight="1" x14ac:dyDescent="0.25">
      <c r="A4" s="53" t="s">
        <v>75</v>
      </c>
      <c r="B4" s="53" t="s">
        <v>0</v>
      </c>
      <c r="C4" s="53" t="s">
        <v>76</v>
      </c>
      <c r="D4" s="170" t="s">
        <v>261</v>
      </c>
    </row>
    <row r="5" spans="1:4" s="30" customFormat="1" ht="19.5" customHeight="1" x14ac:dyDescent="0.2">
      <c r="A5" s="53">
        <v>1</v>
      </c>
      <c r="B5" s="53">
        <v>2</v>
      </c>
      <c r="C5" s="53">
        <v>3</v>
      </c>
      <c r="D5" s="162"/>
    </row>
    <row r="6" spans="1:4" s="30" customFormat="1" ht="24" customHeight="1" x14ac:dyDescent="0.2">
      <c r="A6" s="54"/>
      <c r="B6" s="73" t="s">
        <v>77</v>
      </c>
      <c r="C6" s="166">
        <f>4764239.04/1000</f>
        <v>4764.2390400000004</v>
      </c>
      <c r="D6" s="163" t="s">
        <v>239</v>
      </c>
    </row>
    <row r="7" spans="1:4" s="30" customFormat="1" ht="24" customHeight="1" x14ac:dyDescent="0.2">
      <c r="A7" s="54"/>
      <c r="B7" s="56" t="s">
        <v>78</v>
      </c>
      <c r="C7" s="167">
        <f>7506588.24/1000</f>
        <v>7506.58824</v>
      </c>
      <c r="D7" s="163" t="s">
        <v>240</v>
      </c>
    </row>
    <row r="8" spans="1:4" s="30" customFormat="1" ht="24" customHeight="1" x14ac:dyDescent="0.2">
      <c r="A8" s="54"/>
      <c r="B8" s="57" t="s">
        <v>4</v>
      </c>
      <c r="C8" s="168"/>
      <c r="D8" s="163"/>
    </row>
    <row r="9" spans="1:4" s="30" customFormat="1" ht="24" customHeight="1" x14ac:dyDescent="0.2">
      <c r="A9" s="54"/>
      <c r="B9" s="57" t="s">
        <v>79</v>
      </c>
      <c r="C9" s="167">
        <f>4587190.85/1000</f>
        <v>4587.19085</v>
      </c>
      <c r="D9" s="163" t="s">
        <v>241</v>
      </c>
    </row>
    <row r="10" spans="1:4" s="30" customFormat="1" ht="24" customHeight="1" x14ac:dyDescent="0.3">
      <c r="A10" s="54"/>
      <c r="B10" s="58" t="s">
        <v>80</v>
      </c>
      <c r="C10" s="167">
        <f>3587107.47/1000</f>
        <v>3587.1074700000004</v>
      </c>
      <c r="D10" s="164" t="s">
        <v>242</v>
      </c>
    </row>
    <row r="11" spans="1:4" s="30" customFormat="1" ht="24" customHeight="1" x14ac:dyDescent="0.2">
      <c r="A11" s="54"/>
      <c r="B11" s="57" t="s">
        <v>4</v>
      </c>
      <c r="C11" s="168"/>
      <c r="D11" s="163"/>
    </row>
    <row r="12" spans="1:4" s="30" customFormat="1" ht="24" customHeight="1" x14ac:dyDescent="0.2">
      <c r="A12" s="54"/>
      <c r="B12" s="57" t="s">
        <v>79</v>
      </c>
      <c r="C12" s="169">
        <f>76953.28/1000</f>
        <v>76.953279999999992</v>
      </c>
      <c r="D12" s="163" t="s">
        <v>243</v>
      </c>
    </row>
    <row r="13" spans="1:4" s="30" customFormat="1" ht="24" customHeight="1" x14ac:dyDescent="0.2">
      <c r="A13" s="54"/>
      <c r="B13" s="73" t="s">
        <v>81</v>
      </c>
      <c r="C13" s="166">
        <f>985579.78/1000</f>
        <v>985.57978000000003</v>
      </c>
      <c r="D13" s="163" t="s">
        <v>244</v>
      </c>
    </row>
    <row r="14" spans="1:4" s="30" customFormat="1" ht="24" customHeight="1" x14ac:dyDescent="0.2">
      <c r="A14" s="54"/>
      <c r="B14" s="56" t="s">
        <v>82</v>
      </c>
      <c r="C14" s="167">
        <f>C16+C17</f>
        <v>794.06731000000002</v>
      </c>
      <c r="D14" s="163" t="s">
        <v>245</v>
      </c>
    </row>
    <row r="15" spans="1:4" s="30" customFormat="1" ht="24" customHeight="1" x14ac:dyDescent="0.2">
      <c r="A15" s="54"/>
      <c r="B15" s="59" t="s">
        <v>4</v>
      </c>
      <c r="C15" s="167"/>
      <c r="D15" s="163"/>
    </row>
    <row r="16" spans="1:4" s="30" customFormat="1" ht="24" customHeight="1" x14ac:dyDescent="0.2">
      <c r="A16" s="54"/>
      <c r="B16" s="59" t="s">
        <v>83</v>
      </c>
      <c r="C16" s="167">
        <f>794067.31/1000</f>
        <v>794.06731000000002</v>
      </c>
      <c r="D16" s="165" t="s">
        <v>246</v>
      </c>
    </row>
    <row r="17" spans="1:4" s="30" customFormat="1" ht="33" customHeight="1" x14ac:dyDescent="0.2">
      <c r="A17" s="54"/>
      <c r="B17" s="59" t="s">
        <v>84</v>
      </c>
      <c r="C17" s="167">
        <v>0</v>
      </c>
      <c r="D17" s="163"/>
    </row>
    <row r="18" spans="1:4" s="30" customFormat="1" ht="24" customHeight="1" x14ac:dyDescent="0.2">
      <c r="A18" s="54"/>
      <c r="B18" s="56" t="s">
        <v>85</v>
      </c>
      <c r="C18" s="167">
        <v>0</v>
      </c>
      <c r="D18" s="163"/>
    </row>
    <row r="19" spans="1:4" s="30" customFormat="1" ht="24" customHeight="1" x14ac:dyDescent="0.2">
      <c r="A19" s="54"/>
      <c r="B19" s="56" t="s">
        <v>86</v>
      </c>
      <c r="C19" s="167">
        <f>(46367.43-0)/1000</f>
        <v>46.367429999999999</v>
      </c>
      <c r="D19" s="163" t="s">
        <v>247</v>
      </c>
    </row>
    <row r="20" spans="1:4" s="30" customFormat="1" ht="24" customHeight="1" x14ac:dyDescent="0.2">
      <c r="A20" s="54"/>
      <c r="B20" s="56" t="s">
        <v>87</v>
      </c>
      <c r="C20" s="167">
        <f>(145145.04)/1000</f>
        <v>145.14503999999999</v>
      </c>
      <c r="D20" s="163" t="s">
        <v>248</v>
      </c>
    </row>
    <row r="21" spans="1:4" s="30" customFormat="1" ht="24" customHeight="1" x14ac:dyDescent="0.2">
      <c r="A21" s="54"/>
      <c r="B21" s="73" t="s">
        <v>88</v>
      </c>
      <c r="C21" s="166">
        <f>14067944.59/1000</f>
        <v>14067.944589999999</v>
      </c>
      <c r="D21" s="163" t="s">
        <v>249</v>
      </c>
    </row>
    <row r="22" spans="1:4" s="30" customFormat="1" ht="24" customHeight="1" x14ac:dyDescent="0.2">
      <c r="A22" s="54"/>
      <c r="B22" s="56" t="s">
        <v>12</v>
      </c>
      <c r="C22" s="167"/>
      <c r="D22" s="163"/>
    </row>
    <row r="23" spans="1:4" s="30" customFormat="1" ht="24" customHeight="1" x14ac:dyDescent="0.2">
      <c r="A23" s="54"/>
      <c r="B23" s="56" t="s">
        <v>89</v>
      </c>
      <c r="C23" s="167">
        <v>0</v>
      </c>
      <c r="D23" s="163"/>
    </row>
    <row r="24" spans="1:4" s="30" customFormat="1" ht="24" customHeight="1" x14ac:dyDescent="0.2">
      <c r="A24" s="54"/>
      <c r="B24" s="56" t="s">
        <v>90</v>
      </c>
      <c r="C24" s="167">
        <f>(1086244.22)/1000</f>
        <v>1086.24422</v>
      </c>
      <c r="D24" s="165" t="s">
        <v>250</v>
      </c>
    </row>
    <row r="25" spans="1:4" s="30" customFormat="1" ht="24" customHeight="1" x14ac:dyDescent="0.2">
      <c r="A25" s="54"/>
      <c r="B25" s="57" t="s">
        <v>4</v>
      </c>
      <c r="C25" s="167"/>
      <c r="D25" s="163"/>
    </row>
    <row r="26" spans="1:4" s="30" customFormat="1" ht="24" customHeight="1" x14ac:dyDescent="0.2">
      <c r="A26" s="54"/>
      <c r="B26" s="57" t="s">
        <v>91</v>
      </c>
      <c r="C26" s="167">
        <v>0</v>
      </c>
      <c r="D26" s="163"/>
    </row>
  </sheetData>
  <mergeCells count="2">
    <mergeCell ref="A1:C1"/>
    <mergeCell ref="A2:C2"/>
  </mergeCells>
  <pageMargins left="0.70866141732283472" right="0.11811023622047245" top="0.31496062992125984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53"/>
  <sheetViews>
    <sheetView tabSelected="1" zoomScaleNormal="100" zoomScaleSheetLayoutView="82" workbookViewId="0">
      <pane ySplit="7" topLeftCell="A20" activePane="bottomLeft" state="frozen"/>
      <selection pane="bottomLeft" activeCell="BG25" sqref="BG25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26.140625" style="80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50" t="s">
        <v>273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63" ht="12.75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"/>
      <c r="BD3" s="1"/>
      <c r="BE3" s="1"/>
      <c r="BF3" s="1"/>
    </row>
    <row r="4" spans="1:63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9" t="s">
        <v>2</v>
      </c>
      <c r="BA4" s="251" t="s">
        <v>3</v>
      </c>
      <c r="BB4" s="252"/>
      <c r="BC4" s="252"/>
      <c r="BD4" s="252"/>
      <c r="BE4" s="252"/>
      <c r="BF4" s="252"/>
    </row>
    <row r="5" spans="1:63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55"/>
      <c r="BA5" s="255" t="s">
        <v>26</v>
      </c>
      <c r="BB5" s="268" t="s">
        <v>4</v>
      </c>
      <c r="BC5" s="268"/>
      <c r="BD5" s="268"/>
      <c r="BE5" s="268"/>
      <c r="BF5" s="268"/>
    </row>
    <row r="6" spans="1:63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55"/>
      <c r="BA6" s="255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63" ht="30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56"/>
      <c r="BA7" s="256"/>
      <c r="BB7" s="254"/>
      <c r="BC7" s="254"/>
      <c r="BD7" s="254"/>
      <c r="BE7" s="146" t="s">
        <v>9</v>
      </c>
      <c r="BF7" s="146" t="s">
        <v>10</v>
      </c>
      <c r="BG7" s="116">
        <f>BA9+BA138-BA24</f>
        <v>0</v>
      </c>
      <c r="BK7" s="9" t="s">
        <v>130</v>
      </c>
    </row>
    <row r="8" spans="1:63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71">
        <v>3</v>
      </c>
      <c r="BA8" s="71">
        <v>4</v>
      </c>
      <c r="BB8" s="147">
        <v>5</v>
      </c>
      <c r="BC8" s="147">
        <v>6</v>
      </c>
      <c r="BD8" s="147">
        <v>7</v>
      </c>
      <c r="BE8" s="146">
        <v>8</v>
      </c>
      <c r="BF8" s="146">
        <v>9</v>
      </c>
    </row>
    <row r="9" spans="1:63" ht="23.25" customHeight="1" x14ac:dyDescent="0.2">
      <c r="A9" s="3"/>
      <c r="B9" s="270" t="s">
        <v>27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1"/>
      <c r="AY9" s="11">
        <v>100</v>
      </c>
      <c r="AZ9" s="72" t="s">
        <v>28</v>
      </c>
      <c r="BA9" s="126">
        <f>BA10+BA11+BA16+BA17+BA18+BA20+BA23+BA15+BA19</f>
        <v>24037226.419999998</v>
      </c>
      <c r="BB9" s="126">
        <f>BB11</f>
        <v>21234972.199999999</v>
      </c>
      <c r="BC9" s="126">
        <f>BC18+BC19</f>
        <v>1242254.22</v>
      </c>
      <c r="BD9" s="126">
        <f>BD18</f>
        <v>0</v>
      </c>
      <c r="BE9" s="126">
        <f>BE10+BE11+BE16+BE17+BE20+BE23+BE15</f>
        <v>1560000</v>
      </c>
      <c r="BF9" s="126">
        <f>BF11+BF20</f>
        <v>0</v>
      </c>
      <c r="BG9" s="100"/>
    </row>
    <row r="10" spans="1:63" ht="21.75" customHeight="1" x14ac:dyDescent="0.2">
      <c r="A10" s="5"/>
      <c r="B10" s="225" t="s">
        <v>47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6"/>
      <c r="AY10" s="8">
        <v>110</v>
      </c>
      <c r="AZ10" s="72" t="s">
        <v>181</v>
      </c>
      <c r="BA10" s="127">
        <f>BE10</f>
        <v>0</v>
      </c>
      <c r="BB10" s="128" t="s">
        <v>28</v>
      </c>
      <c r="BC10" s="128" t="s">
        <v>28</v>
      </c>
      <c r="BD10" s="128" t="s">
        <v>28</v>
      </c>
      <c r="BE10" s="128">
        <f>160000-160000</f>
        <v>0</v>
      </c>
      <c r="BF10" s="128" t="s">
        <v>28</v>
      </c>
      <c r="BG10" s="80" t="s">
        <v>255</v>
      </c>
    </row>
    <row r="11" spans="1:63" ht="19.5" customHeight="1" x14ac:dyDescent="0.2">
      <c r="A11" s="5"/>
      <c r="B11" s="225" t="s">
        <v>199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6"/>
      <c r="AY11" s="8">
        <v>120</v>
      </c>
      <c r="AZ11" s="72" t="s">
        <v>182</v>
      </c>
      <c r="BA11" s="127">
        <f>BB11+BE11+BF11</f>
        <v>22634972.199999999</v>
      </c>
      <c r="BB11" s="128">
        <f>SUM(BB12:BB14)</f>
        <v>21234972.199999999</v>
      </c>
      <c r="BC11" s="128" t="s">
        <v>28</v>
      </c>
      <c r="BD11" s="128" t="s">
        <v>28</v>
      </c>
      <c r="BE11" s="128">
        <f>SUM(BE12:BE14)</f>
        <v>1400000</v>
      </c>
      <c r="BF11" s="128">
        <v>0</v>
      </c>
      <c r="BG11" s="80" t="s">
        <v>256</v>
      </c>
    </row>
    <row r="12" spans="1:63" s="89" customFormat="1" ht="45.75" hidden="1" customHeight="1" x14ac:dyDescent="0.2">
      <c r="A12" s="219" t="s">
        <v>146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1"/>
      <c r="AY12" s="101"/>
      <c r="AZ12" s="102" t="s">
        <v>148</v>
      </c>
      <c r="BA12" s="129"/>
      <c r="BB12" s="129">
        <f>21087172+113811+33989.2</f>
        <v>21234972.199999999</v>
      </c>
      <c r="BC12" s="129"/>
      <c r="BD12" s="129"/>
      <c r="BE12" s="129"/>
      <c r="BF12" s="129"/>
      <c r="BG12" s="230" t="s">
        <v>145</v>
      </c>
    </row>
    <row r="13" spans="1:63" s="89" customFormat="1" ht="33.75" hidden="1" customHeight="1" x14ac:dyDescent="0.2">
      <c r="A13" s="219" t="s">
        <v>147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1"/>
      <c r="AY13" s="101"/>
      <c r="AZ13" s="102" t="s">
        <v>149</v>
      </c>
      <c r="BA13" s="129"/>
      <c r="BB13" s="129"/>
      <c r="BC13" s="129"/>
      <c r="BD13" s="129"/>
      <c r="BE13" s="129"/>
      <c r="BF13" s="129"/>
      <c r="BG13" s="230"/>
    </row>
    <row r="14" spans="1:63" s="89" customFormat="1" ht="61.5" hidden="1" customHeight="1" x14ac:dyDescent="0.2">
      <c r="A14" s="219" t="s">
        <v>151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1"/>
      <c r="AY14" s="101"/>
      <c r="AZ14" s="102" t="s">
        <v>150</v>
      </c>
      <c r="BA14" s="129"/>
      <c r="BB14" s="129"/>
      <c r="BC14" s="129"/>
      <c r="BD14" s="129"/>
      <c r="BE14" s="129">
        <f>1400000</f>
        <v>1400000</v>
      </c>
      <c r="BF14" s="129"/>
      <c r="BG14" s="230"/>
    </row>
    <row r="15" spans="1:63" s="121" customFormat="1" ht="18.75" customHeight="1" x14ac:dyDescent="0.2">
      <c r="A15" s="243" t="s">
        <v>200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  <c r="AY15" s="139">
        <v>130</v>
      </c>
      <c r="AZ15" s="72" t="s">
        <v>186</v>
      </c>
      <c r="BA15" s="127">
        <f>BE15</f>
        <v>100000</v>
      </c>
      <c r="BB15" s="130"/>
      <c r="BC15" s="130"/>
      <c r="BD15" s="130"/>
      <c r="BE15" s="130">
        <v>100000</v>
      </c>
      <c r="BF15" s="130"/>
      <c r="BG15" s="176">
        <v>2011</v>
      </c>
    </row>
    <row r="16" spans="1:63" ht="17.25" customHeight="1" x14ac:dyDescent="0.2">
      <c r="A16" s="5"/>
      <c r="B16" s="225" t="s">
        <v>201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6"/>
      <c r="AY16" s="8">
        <v>140</v>
      </c>
      <c r="AZ16" s="72" t="s">
        <v>183</v>
      </c>
      <c r="BA16" s="127">
        <f>BE16</f>
        <v>60000</v>
      </c>
      <c r="BB16" s="128" t="s">
        <v>28</v>
      </c>
      <c r="BC16" s="128" t="s">
        <v>28</v>
      </c>
      <c r="BD16" s="128" t="s">
        <v>28</v>
      </c>
      <c r="BE16" s="130">
        <v>60000</v>
      </c>
      <c r="BF16" s="128" t="s">
        <v>28</v>
      </c>
      <c r="BG16" s="80" t="s">
        <v>170</v>
      </c>
    </row>
    <row r="17" spans="1:59" ht="52.5" customHeight="1" x14ac:dyDescent="0.2">
      <c r="A17" s="5"/>
      <c r="B17" s="225" t="s">
        <v>202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6"/>
      <c r="AY17" s="8">
        <v>150</v>
      </c>
      <c r="AZ17" s="72" t="s">
        <v>32</v>
      </c>
      <c r="BA17" s="127">
        <f>BE17</f>
        <v>0</v>
      </c>
      <c r="BB17" s="128" t="s">
        <v>28</v>
      </c>
      <c r="BC17" s="128" t="s">
        <v>28</v>
      </c>
      <c r="BD17" s="128" t="s">
        <v>28</v>
      </c>
      <c r="BE17" s="128">
        <v>0</v>
      </c>
      <c r="BF17" s="128" t="s">
        <v>28</v>
      </c>
    </row>
    <row r="18" spans="1:59" ht="39.75" customHeight="1" x14ac:dyDescent="0.2">
      <c r="A18" s="5"/>
      <c r="B18" s="225" t="s">
        <v>209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6"/>
      <c r="AY18" s="8">
        <v>160</v>
      </c>
      <c r="AZ18" s="72" t="s">
        <v>197</v>
      </c>
      <c r="BA18" s="127">
        <f>BC18+BD18</f>
        <v>1230094.22</v>
      </c>
      <c r="BB18" s="128" t="s">
        <v>28</v>
      </c>
      <c r="BC18" s="128">
        <f>156010+1012318.48+61765.74</f>
        <v>1230094.22</v>
      </c>
      <c r="BD18" s="128">
        <v>0</v>
      </c>
      <c r="BE18" s="128" t="s">
        <v>28</v>
      </c>
      <c r="BF18" s="128" t="s">
        <v>28</v>
      </c>
      <c r="BG18" s="80" t="s">
        <v>33</v>
      </c>
    </row>
    <row r="19" spans="1:59" ht="39.75" customHeight="1" x14ac:dyDescent="0.2">
      <c r="A19" s="5"/>
      <c r="B19" s="225" t="s">
        <v>270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6"/>
      <c r="AY19" s="8"/>
      <c r="AZ19" s="72" t="s">
        <v>269</v>
      </c>
      <c r="BA19" s="127">
        <f>BC19+BD19</f>
        <v>12160</v>
      </c>
      <c r="BB19" s="128" t="s">
        <v>28</v>
      </c>
      <c r="BC19" s="128">
        <v>12160</v>
      </c>
      <c r="BD19" s="128">
        <v>0</v>
      </c>
      <c r="BE19" s="128" t="s">
        <v>28</v>
      </c>
      <c r="BF19" s="128" t="s">
        <v>28</v>
      </c>
      <c r="BG19" s="80" t="s">
        <v>271</v>
      </c>
    </row>
    <row r="20" spans="1:59" ht="12.75" customHeight="1" x14ac:dyDescent="0.2">
      <c r="A20" s="5"/>
      <c r="B20" s="225" t="s">
        <v>203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6"/>
      <c r="AY20" s="8">
        <v>170</v>
      </c>
      <c r="AZ20" s="72" t="s">
        <v>184</v>
      </c>
      <c r="BA20" s="127">
        <f>BE20</f>
        <v>0</v>
      </c>
      <c r="BB20" s="128" t="s">
        <v>28</v>
      </c>
      <c r="BC20" s="128" t="s">
        <v>28</v>
      </c>
      <c r="BD20" s="128" t="s">
        <v>28</v>
      </c>
      <c r="BE20" s="128"/>
      <c r="BF20" s="128">
        <v>0</v>
      </c>
      <c r="BG20" s="80" t="s">
        <v>257</v>
      </c>
    </row>
    <row r="21" spans="1:59" s="89" customFormat="1" ht="19.5" hidden="1" customHeight="1" x14ac:dyDescent="0.2">
      <c r="A21" s="219" t="s">
        <v>190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1"/>
      <c r="AY21" s="101"/>
      <c r="AZ21" s="102" t="s">
        <v>191</v>
      </c>
      <c r="BA21" s="129"/>
      <c r="BB21" s="129"/>
      <c r="BC21" s="129"/>
      <c r="BD21" s="129"/>
      <c r="BE21" s="129">
        <v>0</v>
      </c>
      <c r="BF21" s="129"/>
      <c r="BG21" s="80"/>
    </row>
    <row r="22" spans="1:59" s="89" customFormat="1" ht="20.25" hidden="1" customHeight="1" x14ac:dyDescent="0.2">
      <c r="A22" s="219" t="s">
        <v>177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1"/>
      <c r="AY22" s="101"/>
      <c r="AZ22" s="102" t="s">
        <v>176</v>
      </c>
      <c r="BA22" s="129"/>
      <c r="BB22" s="129"/>
      <c r="BC22" s="129"/>
      <c r="BD22" s="129"/>
      <c r="BE22" s="129"/>
      <c r="BF22" s="129"/>
      <c r="BG22" s="80"/>
    </row>
    <row r="23" spans="1:59" ht="18.75" customHeight="1" x14ac:dyDescent="0.2">
      <c r="A23" s="5"/>
      <c r="B23" s="225" t="s">
        <v>31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6"/>
      <c r="AY23" s="8">
        <v>180</v>
      </c>
      <c r="AZ23" s="72" t="s">
        <v>48</v>
      </c>
      <c r="BA23" s="127">
        <f>BE23</f>
        <v>0</v>
      </c>
      <c r="BB23" s="128" t="s">
        <v>28</v>
      </c>
      <c r="BC23" s="128" t="s">
        <v>28</v>
      </c>
      <c r="BD23" s="128" t="s">
        <v>28</v>
      </c>
      <c r="BE23" s="128">
        <v>0</v>
      </c>
      <c r="BF23" s="128">
        <v>0</v>
      </c>
    </row>
    <row r="24" spans="1:59" ht="24.75" customHeight="1" x14ac:dyDescent="0.2">
      <c r="A24" s="3"/>
      <c r="B24" s="270" t="s">
        <v>34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1"/>
      <c r="AY24" s="11">
        <v>200</v>
      </c>
      <c r="AZ24" s="72" t="s">
        <v>28</v>
      </c>
      <c r="BA24" s="126">
        <f t="shared" ref="BA24:BF24" si="0">BA25+BA45+BA48+BA65+BA67+BA68</f>
        <v>24831293.73</v>
      </c>
      <c r="BB24" s="126">
        <f t="shared" si="0"/>
        <v>21896646.240000002</v>
      </c>
      <c r="BC24" s="126">
        <f t="shared" si="0"/>
        <v>1242254.22</v>
      </c>
      <c r="BD24" s="126">
        <f t="shared" si="0"/>
        <v>0</v>
      </c>
      <c r="BE24" s="126">
        <f t="shared" si="0"/>
        <v>1692393.27</v>
      </c>
      <c r="BF24" s="126">
        <f t="shared" si="0"/>
        <v>0</v>
      </c>
      <c r="BG24" s="103"/>
    </row>
    <row r="25" spans="1:59" ht="44.25" customHeight="1" x14ac:dyDescent="0.2">
      <c r="A25" s="5"/>
      <c r="B25" s="211" t="s">
        <v>35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2"/>
      <c r="AY25" s="12">
        <v>210</v>
      </c>
      <c r="AZ25" s="72"/>
      <c r="BA25" s="127">
        <f t="shared" ref="BA25:BF25" si="1">BA26+BA34+BA42</f>
        <v>18996419.98</v>
      </c>
      <c r="BB25" s="131">
        <f t="shared" si="1"/>
        <v>18288850.199999999</v>
      </c>
      <c r="BC25" s="131">
        <f t="shared" si="1"/>
        <v>16610</v>
      </c>
      <c r="BD25" s="131">
        <f t="shared" si="1"/>
        <v>0</v>
      </c>
      <c r="BE25" s="131">
        <f t="shared" si="1"/>
        <v>690959.78</v>
      </c>
      <c r="BF25" s="131">
        <f t="shared" si="1"/>
        <v>0</v>
      </c>
    </row>
    <row r="26" spans="1:59" ht="39.75" customHeight="1" x14ac:dyDescent="0.2">
      <c r="A26" s="5"/>
      <c r="B26" s="211" t="s">
        <v>36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12">
        <v>211</v>
      </c>
      <c r="AZ26" s="72"/>
      <c r="BA26" s="127">
        <f t="shared" ref="BA26:BF26" si="2">BA27+BA31</f>
        <v>18746009.98</v>
      </c>
      <c r="BB26" s="131">
        <f t="shared" si="2"/>
        <v>18055050.199999999</v>
      </c>
      <c r="BC26" s="131">
        <f t="shared" si="2"/>
        <v>0</v>
      </c>
      <c r="BD26" s="131">
        <f t="shared" si="2"/>
        <v>0</v>
      </c>
      <c r="BE26" s="131">
        <f t="shared" si="2"/>
        <v>690959.78</v>
      </c>
      <c r="BF26" s="131">
        <f t="shared" si="2"/>
        <v>0</v>
      </c>
    </row>
    <row r="27" spans="1:59" ht="20.25" customHeight="1" x14ac:dyDescent="0.2">
      <c r="A27" s="6"/>
      <c r="B27" s="7"/>
      <c r="C27" s="225" t="s">
        <v>204</v>
      </c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6"/>
      <c r="AY27" s="8"/>
      <c r="AZ27" s="72" t="s">
        <v>15</v>
      </c>
      <c r="BA27" s="127">
        <f>BB27+BC27+BD27+BE27</f>
        <v>14469596</v>
      </c>
      <c r="BB27" s="128">
        <f>BB28+BB30+BB29</f>
        <v>13938911</v>
      </c>
      <c r="BC27" s="128">
        <v>0</v>
      </c>
      <c r="BD27" s="128">
        <v>0</v>
      </c>
      <c r="BE27" s="128">
        <f>700000-169315</f>
        <v>530685</v>
      </c>
      <c r="BF27" s="128">
        <v>0</v>
      </c>
      <c r="BG27" s="80" t="s">
        <v>225</v>
      </c>
    </row>
    <row r="28" spans="1:59" s="89" customFormat="1" ht="12.75" customHeight="1" x14ac:dyDescent="0.2">
      <c r="A28" s="124"/>
      <c r="B28" s="125"/>
      <c r="C28" s="220" t="s">
        <v>227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1"/>
      <c r="AY28" s="101"/>
      <c r="AZ28" s="102"/>
      <c r="BA28" s="129"/>
      <c r="BB28" s="129">
        <f>13645100+113811</f>
        <v>13758911</v>
      </c>
      <c r="BC28" s="129"/>
      <c r="BD28" s="129"/>
      <c r="BE28" s="129"/>
      <c r="BF28" s="129"/>
      <c r="BG28" s="106"/>
    </row>
    <row r="29" spans="1:59" s="89" customFormat="1" ht="12.75" customHeight="1" x14ac:dyDescent="0.2">
      <c r="A29" s="124"/>
      <c r="B29" s="220" t="s">
        <v>236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1"/>
      <c r="AY29" s="101"/>
      <c r="AZ29" s="102"/>
      <c r="BA29" s="129"/>
      <c r="BB29" s="129">
        <v>30000</v>
      </c>
      <c r="BC29" s="129"/>
      <c r="BD29" s="129"/>
      <c r="BE29" s="129"/>
      <c r="BF29" s="129"/>
      <c r="BG29" s="106"/>
    </row>
    <row r="30" spans="1:59" s="89" customFormat="1" ht="12.75" customHeight="1" x14ac:dyDescent="0.2">
      <c r="A30" s="124"/>
      <c r="B30" s="125"/>
      <c r="C30" s="220" t="s">
        <v>168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1"/>
      <c r="AY30" s="101"/>
      <c r="AZ30" s="102"/>
      <c r="BA30" s="129"/>
      <c r="BB30" s="129">
        <v>150000</v>
      </c>
      <c r="BC30" s="129"/>
      <c r="BD30" s="129"/>
      <c r="BE30" s="129"/>
      <c r="BF30" s="129"/>
      <c r="BG30" s="106"/>
    </row>
    <row r="31" spans="1:59" ht="51" customHeight="1" x14ac:dyDescent="0.2">
      <c r="A31" s="136"/>
      <c r="B31" s="148"/>
      <c r="C31" s="225" t="s">
        <v>205</v>
      </c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6"/>
      <c r="AY31" s="8"/>
      <c r="AZ31" s="72" t="s">
        <v>16</v>
      </c>
      <c r="BA31" s="127">
        <f>BB31+BC31+BD31+BE31</f>
        <v>4276413.9800000004</v>
      </c>
      <c r="BB31" s="128">
        <f>BB32+BB33</f>
        <v>4116139.2</v>
      </c>
      <c r="BC31" s="128">
        <v>0</v>
      </c>
      <c r="BD31" s="128">
        <v>0</v>
      </c>
      <c r="BE31" s="128">
        <f>212000-51725.16-0.06</f>
        <v>160274.78</v>
      </c>
      <c r="BF31" s="128">
        <v>0</v>
      </c>
      <c r="BG31" s="80" t="s">
        <v>152</v>
      </c>
    </row>
    <row r="32" spans="1:59" s="89" customFormat="1" ht="17.25" hidden="1" customHeight="1" x14ac:dyDescent="0.2">
      <c r="A32" s="122"/>
      <c r="B32" s="220" t="str">
        <f>C28</f>
        <v>мз КОСГУ 211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1"/>
      <c r="AY32" s="101"/>
      <c r="AZ32" s="102"/>
      <c r="BA32" s="129"/>
      <c r="BB32" s="129">
        <f>4037900+33989.2</f>
        <v>4071889.2</v>
      </c>
      <c r="BC32" s="129"/>
      <c r="BD32" s="129"/>
      <c r="BE32" s="129"/>
      <c r="BF32" s="129"/>
      <c r="BG32" s="106"/>
    </row>
    <row r="33" spans="1:59" s="89" customFormat="1" ht="19.5" hidden="1" customHeight="1" x14ac:dyDescent="0.2">
      <c r="A33" s="122"/>
      <c r="B33" s="220" t="s">
        <v>168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1"/>
      <c r="AY33" s="101"/>
      <c r="AZ33" s="102"/>
      <c r="BA33" s="129"/>
      <c r="BB33" s="129">
        <v>44250</v>
      </c>
      <c r="BC33" s="129"/>
      <c r="BD33" s="129"/>
      <c r="BE33" s="129"/>
      <c r="BF33" s="129"/>
      <c r="BG33" s="106"/>
    </row>
    <row r="34" spans="1:59" ht="28.5" customHeight="1" x14ac:dyDescent="0.2">
      <c r="A34" s="136"/>
      <c r="B34" s="148"/>
      <c r="C34" s="225" t="s">
        <v>210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6"/>
      <c r="AY34" s="8"/>
      <c r="AZ34" s="72" t="s">
        <v>14</v>
      </c>
      <c r="BA34" s="127">
        <f>BB34+BC34+BD34+BE34</f>
        <v>64010</v>
      </c>
      <c r="BB34" s="128">
        <f>SUM(BB35:BB41)</f>
        <v>47400</v>
      </c>
      <c r="BC34" s="128">
        <f>SUM(BC35:BC41)</f>
        <v>16610</v>
      </c>
      <c r="BD34" s="128">
        <f>SUM(BD35:BD41)</f>
        <v>0</v>
      </c>
      <c r="BE34" s="128">
        <f>SUM(BE35:BE41)</f>
        <v>0</v>
      </c>
      <c r="BF34" s="128">
        <f>SUM(BF35:BF41)</f>
        <v>0</v>
      </c>
      <c r="BG34" s="80" t="s">
        <v>258</v>
      </c>
    </row>
    <row r="35" spans="1:59" s="89" customFormat="1" ht="21.75" hidden="1" customHeight="1" x14ac:dyDescent="0.2">
      <c r="A35" s="122"/>
      <c r="B35" s="220" t="s">
        <v>281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1"/>
      <c r="AY35" s="101"/>
      <c r="AZ35" s="102"/>
      <c r="BA35" s="129"/>
      <c r="BB35" s="129"/>
      <c r="BC35" s="129">
        <v>14000</v>
      </c>
      <c r="BD35" s="129"/>
      <c r="BE35" s="129"/>
      <c r="BF35" s="129"/>
      <c r="BG35" s="106"/>
    </row>
    <row r="36" spans="1:59" s="89" customFormat="1" ht="21.75" hidden="1" customHeight="1" x14ac:dyDescent="0.2">
      <c r="A36" s="122"/>
      <c r="B36" s="220" t="s">
        <v>280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1"/>
      <c r="AY36" s="101"/>
      <c r="AZ36" s="102"/>
      <c r="BA36" s="129"/>
      <c r="BB36" s="129"/>
      <c r="BC36" s="129">
        <v>2610</v>
      </c>
      <c r="BD36" s="129"/>
      <c r="BE36" s="129"/>
      <c r="BF36" s="129"/>
      <c r="BG36" s="106"/>
    </row>
    <row r="37" spans="1:59" s="89" customFormat="1" ht="28.5" hidden="1" customHeight="1" x14ac:dyDescent="0.2">
      <c r="A37" s="122"/>
      <c r="B37" s="220" t="s">
        <v>284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1"/>
      <c r="AY37" s="101"/>
      <c r="AZ37" s="102"/>
      <c r="BA37" s="129"/>
      <c r="BB37" s="129"/>
      <c r="BC37" s="129"/>
      <c r="BD37" s="129"/>
      <c r="BE37" s="129"/>
      <c r="BF37" s="129"/>
      <c r="BG37" s="249"/>
    </row>
    <row r="38" spans="1:59" s="89" customFormat="1" ht="28.5" hidden="1" customHeight="1" x14ac:dyDescent="0.2">
      <c r="A38" s="122"/>
      <c r="B38" s="220" t="s">
        <v>285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1"/>
      <c r="AY38" s="101"/>
      <c r="AZ38" s="102"/>
      <c r="BA38" s="129"/>
      <c r="BB38" s="129"/>
      <c r="BC38" s="129"/>
      <c r="BD38" s="129"/>
      <c r="BE38" s="129"/>
      <c r="BF38" s="129"/>
      <c r="BG38" s="249"/>
    </row>
    <row r="39" spans="1:59" s="89" customFormat="1" ht="26.25" hidden="1" customHeight="1" x14ac:dyDescent="0.2">
      <c r="A39" s="122"/>
      <c r="B39" s="220" t="s">
        <v>282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1"/>
      <c r="AY39" s="101"/>
      <c r="AZ39" s="102"/>
      <c r="BA39" s="129"/>
      <c r="BB39" s="129"/>
      <c r="BC39" s="129"/>
      <c r="BD39" s="129"/>
      <c r="BE39" s="129"/>
      <c r="BF39" s="129"/>
      <c r="BG39" s="249"/>
    </row>
    <row r="40" spans="1:59" s="89" customFormat="1" ht="24" hidden="1" customHeight="1" x14ac:dyDescent="0.2">
      <c r="A40" s="122"/>
      <c r="B40" s="220" t="s">
        <v>283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1"/>
      <c r="AY40" s="101"/>
      <c r="AZ40" s="102"/>
      <c r="BA40" s="129"/>
      <c r="BB40" s="129">
        <v>45600</v>
      </c>
      <c r="BC40" s="129"/>
      <c r="BD40" s="129"/>
      <c r="BE40" s="129"/>
      <c r="BF40" s="129"/>
      <c r="BG40" s="249"/>
    </row>
    <row r="41" spans="1:59" s="89" customFormat="1" ht="24" hidden="1" customHeight="1" x14ac:dyDescent="0.2">
      <c r="A41" s="122"/>
      <c r="B41" s="220" t="s">
        <v>294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1"/>
      <c r="AY41" s="101"/>
      <c r="AZ41" s="102"/>
      <c r="BA41" s="129"/>
      <c r="BB41" s="129">
        <v>1800</v>
      </c>
      <c r="BC41" s="129"/>
      <c r="BD41" s="129"/>
      <c r="BE41" s="129"/>
      <c r="BF41" s="129"/>
      <c r="BG41" s="249"/>
    </row>
    <row r="42" spans="1:59" ht="50.25" customHeight="1" x14ac:dyDescent="0.2">
      <c r="A42" s="136"/>
      <c r="B42" s="148"/>
      <c r="C42" s="225" t="s">
        <v>211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6"/>
      <c r="AY42" s="8"/>
      <c r="AZ42" s="72" t="s">
        <v>20</v>
      </c>
      <c r="BA42" s="127">
        <f>BB42+BC42+BD42+BE42</f>
        <v>186400</v>
      </c>
      <c r="BB42" s="128">
        <f>BB43+BB44</f>
        <v>186400</v>
      </c>
      <c r="BC42" s="128">
        <v>0</v>
      </c>
      <c r="BD42" s="128">
        <v>0</v>
      </c>
      <c r="BE42" s="128"/>
      <c r="BF42" s="128">
        <v>0</v>
      </c>
    </row>
    <row r="43" spans="1:59" s="89" customFormat="1" ht="21.75" hidden="1" customHeight="1" x14ac:dyDescent="0.2">
      <c r="A43" s="122"/>
      <c r="B43" s="220" t="s">
        <v>234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1"/>
      <c r="AY43" s="101"/>
      <c r="AZ43" s="102"/>
      <c r="BA43" s="129"/>
      <c r="BB43" s="129">
        <v>86400</v>
      </c>
      <c r="BC43" s="129"/>
      <c r="BD43" s="129"/>
      <c r="BE43" s="129"/>
      <c r="BF43" s="129"/>
      <c r="BG43" s="106"/>
    </row>
    <row r="44" spans="1:59" s="89" customFormat="1" ht="21.75" hidden="1" customHeight="1" x14ac:dyDescent="0.2">
      <c r="A44" s="122"/>
      <c r="B44" s="220" t="s">
        <v>228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1"/>
      <c r="AY44" s="101"/>
      <c r="AZ44" s="102"/>
      <c r="BA44" s="129"/>
      <c r="BB44" s="129">
        <v>100000</v>
      </c>
      <c r="BC44" s="129"/>
      <c r="BD44" s="129"/>
      <c r="BE44" s="129"/>
      <c r="BF44" s="129"/>
      <c r="BG44" s="106"/>
    </row>
    <row r="45" spans="1:59" ht="24" customHeight="1" x14ac:dyDescent="0.2">
      <c r="A45" s="5"/>
      <c r="B45" s="211" t="s">
        <v>37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2"/>
      <c r="AY45" s="12">
        <v>220</v>
      </c>
      <c r="AZ45" s="72"/>
      <c r="BA45" s="127">
        <f>BA47</f>
        <v>0</v>
      </c>
      <c r="BB45" s="131">
        <f t="shared" ref="BB45:BF45" si="3">BB47</f>
        <v>0</v>
      </c>
      <c r="BC45" s="131">
        <f t="shared" si="3"/>
        <v>0</v>
      </c>
      <c r="BD45" s="131">
        <f t="shared" si="3"/>
        <v>0</v>
      </c>
      <c r="BE45" s="131">
        <f t="shared" si="3"/>
        <v>0</v>
      </c>
      <c r="BF45" s="131">
        <f t="shared" si="3"/>
        <v>0</v>
      </c>
    </row>
    <row r="46" spans="1:59" ht="12.75" customHeight="1" x14ac:dyDescent="0.2">
      <c r="A46" s="6"/>
      <c r="B46" s="7"/>
      <c r="C46" s="225" t="s">
        <v>12</v>
      </c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6"/>
      <c r="AY46" s="8"/>
      <c r="AZ46" s="72"/>
      <c r="BA46" s="127"/>
      <c r="BB46" s="128"/>
      <c r="BC46" s="128"/>
      <c r="BD46" s="128"/>
      <c r="BE46" s="128"/>
      <c r="BF46" s="128"/>
    </row>
    <row r="47" spans="1:59" ht="14.25" customHeight="1" x14ac:dyDescent="0.2">
      <c r="A47" s="136"/>
      <c r="B47" s="148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6"/>
      <c r="AY47" s="8"/>
      <c r="AZ47" s="72" t="s">
        <v>17</v>
      </c>
      <c r="BA47" s="127">
        <f>BB47+BC47+BD47+BE47</f>
        <v>0</v>
      </c>
      <c r="BB47" s="128">
        <v>0</v>
      </c>
      <c r="BC47" s="128">
        <v>0</v>
      </c>
      <c r="BD47" s="128">
        <v>0</v>
      </c>
      <c r="BE47" s="128">
        <v>0</v>
      </c>
      <c r="BF47" s="128">
        <v>0</v>
      </c>
    </row>
    <row r="48" spans="1:59" ht="12.75" customHeight="1" x14ac:dyDescent="0.2">
      <c r="A48" s="136"/>
      <c r="B48" s="148"/>
      <c r="C48" s="211" t="s">
        <v>38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2"/>
      <c r="AY48" s="12">
        <v>230</v>
      </c>
      <c r="AZ48" s="72"/>
      <c r="BA48" s="127">
        <f t="shared" ref="BA48:BF48" si="4">BA54+BA57+BA61+BA50</f>
        <v>242135.36</v>
      </c>
      <c r="BB48" s="131">
        <f t="shared" si="4"/>
        <v>179369.62</v>
      </c>
      <c r="BC48" s="131">
        <f t="shared" si="4"/>
        <v>61765.74</v>
      </c>
      <c r="BD48" s="131">
        <f t="shared" si="4"/>
        <v>0</v>
      </c>
      <c r="BE48" s="131">
        <f t="shared" si="4"/>
        <v>1000</v>
      </c>
      <c r="BF48" s="131">
        <f t="shared" si="4"/>
        <v>0</v>
      </c>
    </row>
    <row r="49" spans="1:63" ht="18" customHeight="1" x14ac:dyDescent="0.2">
      <c r="A49" s="136"/>
      <c r="B49" s="148"/>
      <c r="C49" s="225" t="s">
        <v>12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6"/>
      <c r="AY49" s="8"/>
      <c r="AZ49" s="72"/>
      <c r="BA49" s="127"/>
      <c r="BB49" s="128"/>
      <c r="BC49" s="128"/>
      <c r="BD49" s="128"/>
      <c r="BE49" s="128"/>
      <c r="BF49" s="128"/>
    </row>
    <row r="50" spans="1:63" ht="36.75" customHeight="1" x14ac:dyDescent="0.2">
      <c r="A50" s="246" t="s">
        <v>206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8"/>
      <c r="AY50" s="8"/>
      <c r="AZ50" s="72" t="s">
        <v>144</v>
      </c>
      <c r="BA50" s="127">
        <f>BB50+BC50+BD50+BE50</f>
        <v>61765.74</v>
      </c>
      <c r="BB50" s="128"/>
      <c r="BC50" s="128">
        <f>BC51+BC53+BC52</f>
        <v>61765.74</v>
      </c>
      <c r="BD50" s="128">
        <v>0</v>
      </c>
      <c r="BE50" s="128">
        <f>BE51+BE52+BE53</f>
        <v>0</v>
      </c>
      <c r="BF50" s="128">
        <v>0</v>
      </c>
      <c r="BG50" s="80" t="s">
        <v>187</v>
      </c>
    </row>
    <row r="51" spans="1:63" s="89" customFormat="1" ht="27.75" hidden="1" customHeight="1" x14ac:dyDescent="0.2">
      <c r="A51" s="272" t="s">
        <v>259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4"/>
      <c r="AY51" s="101"/>
      <c r="AZ51" s="102"/>
      <c r="BA51" s="129"/>
      <c r="BB51" s="129"/>
      <c r="BC51" s="129">
        <f>23521</f>
        <v>23521</v>
      </c>
      <c r="BD51" s="129"/>
      <c r="BE51" s="129"/>
      <c r="BF51" s="129"/>
      <c r="BG51" s="106"/>
    </row>
    <row r="52" spans="1:63" s="89" customFormat="1" ht="16.5" hidden="1" customHeight="1" x14ac:dyDescent="0.2">
      <c r="A52" s="219" t="s">
        <v>260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1"/>
      <c r="AY52" s="101"/>
      <c r="AZ52" s="102"/>
      <c r="BA52" s="129"/>
      <c r="BB52" s="129"/>
      <c r="BC52" s="129">
        <f>38244.74</f>
        <v>38244.74</v>
      </c>
      <c r="BD52" s="129"/>
      <c r="BE52" s="129"/>
      <c r="BF52" s="129"/>
      <c r="BG52" s="106"/>
    </row>
    <row r="53" spans="1:63" s="89" customFormat="1" ht="16.5" hidden="1" customHeight="1" x14ac:dyDescent="0.2">
      <c r="A53" s="219" t="s">
        <v>265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1"/>
      <c r="AY53" s="101"/>
      <c r="AZ53" s="102"/>
      <c r="BA53" s="129"/>
      <c r="BB53" s="129"/>
      <c r="BC53" s="129"/>
      <c r="BD53" s="129"/>
      <c r="BE53" s="129"/>
      <c r="BF53" s="129"/>
      <c r="BG53" s="106"/>
    </row>
    <row r="54" spans="1:63" ht="28.5" customHeight="1" x14ac:dyDescent="0.2">
      <c r="A54" s="135"/>
      <c r="B54" s="225" t="s">
        <v>207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6"/>
      <c r="AY54" s="8"/>
      <c r="AZ54" s="72" t="s">
        <v>21</v>
      </c>
      <c r="BA54" s="127">
        <f>BB54+BC54+BD54+BE54</f>
        <v>155955.62</v>
      </c>
      <c r="BB54" s="128">
        <f>SUM(BB55:BB56)</f>
        <v>155955.62</v>
      </c>
      <c r="BC54" s="128">
        <v>0</v>
      </c>
      <c r="BD54" s="128">
        <v>0</v>
      </c>
      <c r="BE54" s="128">
        <v>0</v>
      </c>
      <c r="BF54" s="128">
        <v>0</v>
      </c>
      <c r="BG54" s="80" t="s">
        <v>286</v>
      </c>
    </row>
    <row r="55" spans="1:63" s="89" customFormat="1" ht="12.75" hidden="1" customHeight="1" x14ac:dyDescent="0.2">
      <c r="A55" s="233" t="s">
        <v>230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5"/>
      <c r="AY55" s="101"/>
      <c r="AZ55" s="102"/>
      <c r="BA55" s="129"/>
      <c r="BB55" s="129">
        <v>102456</v>
      </c>
      <c r="BC55" s="129"/>
      <c r="BD55" s="129"/>
      <c r="BE55" s="129"/>
      <c r="BF55" s="129"/>
      <c r="BG55" s="106"/>
    </row>
    <row r="56" spans="1:63" s="89" customFormat="1" ht="12.75" hidden="1" customHeight="1" x14ac:dyDescent="0.2">
      <c r="A56" s="233" t="s">
        <v>229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5"/>
      <c r="AY56" s="101"/>
      <c r="AZ56" s="102"/>
      <c r="BA56" s="129"/>
      <c r="BB56" s="129">
        <f>53499.62</f>
        <v>53499.62</v>
      </c>
      <c r="BC56" s="129"/>
      <c r="BD56" s="129"/>
      <c r="BE56" s="129"/>
      <c r="BF56" s="129"/>
      <c r="BG56" s="106"/>
    </row>
    <row r="57" spans="1:63" ht="12.75" customHeight="1" x14ac:dyDescent="0.2">
      <c r="A57" s="6"/>
      <c r="B57" s="7"/>
      <c r="C57" s="225" t="s">
        <v>212</v>
      </c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6"/>
      <c r="AY57" s="8"/>
      <c r="AZ57" s="72" t="s">
        <v>18</v>
      </c>
      <c r="BA57" s="127">
        <f>BB57+BC57+BD57+BE57</f>
        <v>23414</v>
      </c>
      <c r="BB57" s="128">
        <f>BB58+BB59+BB60</f>
        <v>23414</v>
      </c>
      <c r="BC57" s="128">
        <v>0</v>
      </c>
      <c r="BD57" s="128">
        <v>0</v>
      </c>
      <c r="BE57" s="128">
        <f>SUM(BE58:BE60)</f>
        <v>0</v>
      </c>
      <c r="BF57" s="128">
        <v>0</v>
      </c>
      <c r="BG57" s="80" t="s">
        <v>286</v>
      </c>
    </row>
    <row r="58" spans="1:63" s="89" customFormat="1" ht="12.75" hidden="1" customHeight="1" x14ac:dyDescent="0.2">
      <c r="A58" s="233" t="s">
        <v>231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5"/>
      <c r="AY58" s="101"/>
      <c r="AZ58" s="102"/>
      <c r="BA58" s="129"/>
      <c r="BB58" s="129">
        <v>1451</v>
      </c>
      <c r="BC58" s="129"/>
      <c r="BD58" s="129"/>
      <c r="BE58" s="129"/>
      <c r="BF58" s="129"/>
      <c r="BG58" s="106"/>
    </row>
    <row r="59" spans="1:63" s="89" customFormat="1" ht="17.25" hidden="1" customHeight="1" x14ac:dyDescent="0.2">
      <c r="A59" s="233" t="s">
        <v>232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5"/>
      <c r="AY59" s="101"/>
      <c r="AZ59" s="102"/>
      <c r="BA59" s="129"/>
      <c r="BB59" s="129">
        <f>23000-1400</f>
        <v>21600</v>
      </c>
      <c r="BC59" s="129"/>
      <c r="BD59" s="129"/>
      <c r="BE59" s="129"/>
      <c r="BF59" s="129"/>
      <c r="BG59" s="106"/>
    </row>
    <row r="60" spans="1:63" s="89" customFormat="1" ht="12.75" hidden="1" customHeight="1" x14ac:dyDescent="0.2">
      <c r="A60" s="233" t="s">
        <v>233</v>
      </c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5"/>
      <c r="AY60" s="101"/>
      <c r="AZ60" s="102"/>
      <c r="BA60" s="129"/>
      <c r="BB60" s="129">
        <f>363</f>
        <v>363</v>
      </c>
      <c r="BC60" s="129"/>
      <c r="BD60" s="129"/>
      <c r="BE60" s="129">
        <f>2000+7000-2400-3850-2750</f>
        <v>0</v>
      </c>
      <c r="BF60" s="129"/>
      <c r="BG60" s="106"/>
    </row>
    <row r="61" spans="1:63" ht="12.75" x14ac:dyDescent="0.2">
      <c r="A61" s="136"/>
      <c r="B61" s="148"/>
      <c r="C61" s="225" t="s">
        <v>213</v>
      </c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6"/>
      <c r="AY61" s="8"/>
      <c r="AZ61" s="72" t="s">
        <v>19</v>
      </c>
      <c r="BA61" s="127">
        <f t="shared" ref="BA61" si="5">BB61+BC61+BD61+BE61</f>
        <v>1000</v>
      </c>
      <c r="BB61" s="128">
        <f>SUM(BB62:BB64)</f>
        <v>0</v>
      </c>
      <c r="BC61" s="128">
        <v>0</v>
      </c>
      <c r="BD61" s="128">
        <v>0</v>
      </c>
      <c r="BE61" s="128">
        <f>SUM(BE62:BE64)</f>
        <v>1000</v>
      </c>
      <c r="BF61" s="128">
        <v>0</v>
      </c>
      <c r="BG61" s="231" t="s">
        <v>262</v>
      </c>
      <c r="BH61" s="232"/>
      <c r="BI61" s="232"/>
      <c r="BJ61" s="232"/>
      <c r="BK61" s="232"/>
    </row>
    <row r="62" spans="1:63" s="89" customFormat="1" ht="30" hidden="1" customHeight="1" x14ac:dyDescent="0.2">
      <c r="A62" s="233" t="s">
        <v>266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5"/>
      <c r="AY62" s="101"/>
      <c r="AZ62" s="102"/>
      <c r="BA62" s="129"/>
      <c r="BB62" s="129"/>
      <c r="BC62" s="129"/>
      <c r="BD62" s="129"/>
      <c r="BE62" s="129"/>
      <c r="BF62" s="129"/>
      <c r="BG62" s="106" t="s">
        <v>267</v>
      </c>
    </row>
    <row r="63" spans="1:63" s="89" customFormat="1" ht="30" hidden="1" customHeight="1" x14ac:dyDescent="0.2">
      <c r="A63" s="233" t="s">
        <v>254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5"/>
      <c r="AY63" s="101"/>
      <c r="AZ63" s="102"/>
      <c r="BA63" s="129"/>
      <c r="BB63" s="129"/>
      <c r="BC63" s="129"/>
      <c r="BD63" s="129"/>
      <c r="BE63" s="129">
        <v>1000</v>
      </c>
      <c r="BF63" s="129"/>
      <c r="BG63" s="106" t="s">
        <v>253</v>
      </c>
    </row>
    <row r="64" spans="1:63" s="89" customFormat="1" ht="12.75" hidden="1" customHeight="1" x14ac:dyDescent="0.2">
      <c r="A64" s="233" t="s">
        <v>264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5"/>
      <c r="AY64" s="101"/>
      <c r="AZ64" s="102"/>
      <c r="BA64" s="129"/>
      <c r="BB64" s="129">
        <f>6290.89-6290.89</f>
        <v>0</v>
      </c>
      <c r="BC64" s="129"/>
      <c r="BD64" s="129"/>
      <c r="BE64" s="129"/>
      <c r="BF64" s="129"/>
      <c r="BG64" s="106" t="s">
        <v>263</v>
      </c>
    </row>
    <row r="65" spans="1:59" ht="12.75" customHeight="1" x14ac:dyDescent="0.2">
      <c r="A65" s="136"/>
      <c r="B65" s="148"/>
      <c r="C65" s="211" t="s">
        <v>39</v>
      </c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2"/>
      <c r="AY65" s="12">
        <v>240</v>
      </c>
      <c r="AZ65" s="72"/>
      <c r="BA65" s="127"/>
      <c r="BB65" s="131"/>
      <c r="BC65" s="131"/>
      <c r="BD65" s="131"/>
      <c r="BE65" s="131"/>
      <c r="BF65" s="131"/>
    </row>
    <row r="66" spans="1:59" ht="12.75" customHeight="1" x14ac:dyDescent="0.2">
      <c r="A66" s="136"/>
      <c r="B66" s="148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6"/>
      <c r="AY66" s="8"/>
      <c r="AZ66" s="72"/>
      <c r="BA66" s="127"/>
      <c r="BB66" s="128"/>
      <c r="BC66" s="128"/>
      <c r="BD66" s="128"/>
      <c r="BE66" s="128"/>
      <c r="BF66" s="128"/>
    </row>
    <row r="67" spans="1:59" ht="12.75" customHeight="1" x14ac:dyDescent="0.2">
      <c r="A67" s="136"/>
      <c r="B67" s="148"/>
      <c r="C67" s="211" t="s">
        <v>40</v>
      </c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2"/>
      <c r="AY67" s="12">
        <v>250</v>
      </c>
      <c r="AZ67" s="72" t="s">
        <v>49</v>
      </c>
      <c r="BA67" s="127">
        <f>BD67</f>
        <v>0</v>
      </c>
      <c r="BB67" s="131">
        <v>0</v>
      </c>
      <c r="BC67" s="131">
        <v>0</v>
      </c>
      <c r="BD67" s="131">
        <v>0</v>
      </c>
      <c r="BE67" s="131">
        <v>0</v>
      </c>
      <c r="BF67" s="131">
        <v>0</v>
      </c>
      <c r="BG67" s="80" t="s">
        <v>50</v>
      </c>
    </row>
    <row r="68" spans="1:59" ht="15.75" customHeight="1" x14ac:dyDescent="0.2">
      <c r="A68" s="5"/>
      <c r="B68" s="211" t="s">
        <v>214</v>
      </c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2"/>
      <c r="AY68" s="12">
        <v>260</v>
      </c>
      <c r="AZ68" s="72" t="s">
        <v>13</v>
      </c>
      <c r="BA68" s="127">
        <f>BB68+BC68+BD68+BE68</f>
        <v>5592738.3900000006</v>
      </c>
      <c r="BB68" s="131">
        <f>SUM(BB69:BB105)</f>
        <v>3428426.4200000004</v>
      </c>
      <c r="BC68" s="131">
        <f>SUM(BC69:BC129)</f>
        <v>1163878.48</v>
      </c>
      <c r="BD68" s="131">
        <v>0</v>
      </c>
      <c r="BE68" s="131">
        <f>SUM(BE69:BE129)</f>
        <v>1000433.49</v>
      </c>
      <c r="BF68" s="131">
        <v>0</v>
      </c>
    </row>
    <row r="69" spans="1:59" s="89" customFormat="1" ht="12.75" hidden="1" customHeight="1" x14ac:dyDescent="0.2">
      <c r="A69" s="219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1"/>
      <c r="AY69" s="227">
        <v>4000</v>
      </c>
      <c r="AZ69" s="102" t="s">
        <v>153</v>
      </c>
      <c r="BA69" s="129"/>
      <c r="BB69" s="129">
        <v>44400</v>
      </c>
      <c r="BC69" s="129"/>
      <c r="BD69" s="129"/>
      <c r="BE69" s="129"/>
      <c r="BF69" s="129"/>
      <c r="BG69" s="230" t="s">
        <v>145</v>
      </c>
    </row>
    <row r="70" spans="1:59" s="89" customFormat="1" ht="12.75" hidden="1" customHeight="1" x14ac:dyDescent="0.2">
      <c r="A70" s="219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1"/>
      <c r="AY70" s="228"/>
      <c r="AZ70" s="102" t="s">
        <v>154</v>
      </c>
      <c r="BA70" s="129"/>
      <c r="BB70" s="129">
        <f>1201844</f>
        <v>1201844</v>
      </c>
      <c r="BC70" s="129"/>
      <c r="BD70" s="129"/>
      <c r="BE70" s="129"/>
      <c r="BF70" s="129"/>
      <c r="BG70" s="230"/>
    </row>
    <row r="71" spans="1:59" s="89" customFormat="1" ht="12.75" hidden="1" customHeight="1" x14ac:dyDescent="0.2">
      <c r="A71" s="219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1"/>
      <c r="AY71" s="228"/>
      <c r="AZ71" s="102" t="s">
        <v>155</v>
      </c>
      <c r="BA71" s="129"/>
      <c r="BB71" s="129">
        <f>611240</f>
        <v>611240</v>
      </c>
      <c r="BC71" s="129"/>
      <c r="BD71" s="129"/>
      <c r="BE71" s="129"/>
      <c r="BF71" s="129"/>
      <c r="BG71" s="230"/>
    </row>
    <row r="72" spans="1:59" s="89" customFormat="1" ht="12.75" hidden="1" customHeight="1" x14ac:dyDescent="0.2">
      <c r="A72" s="219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1"/>
      <c r="AY72" s="228"/>
      <c r="AZ72" s="102" t="s">
        <v>156</v>
      </c>
      <c r="BA72" s="129"/>
      <c r="BB72" s="129">
        <f>42175</f>
        <v>42175</v>
      </c>
      <c r="BC72" s="129"/>
      <c r="BD72" s="129"/>
      <c r="BE72" s="129"/>
      <c r="BF72" s="129"/>
      <c r="BG72" s="230"/>
    </row>
    <row r="73" spans="1:59" s="89" customFormat="1" ht="12.75" hidden="1" customHeight="1" x14ac:dyDescent="0.2">
      <c r="A73" s="158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60"/>
      <c r="AY73" s="228"/>
      <c r="AZ73" s="102" t="s">
        <v>237</v>
      </c>
      <c r="BA73" s="129"/>
      <c r="BB73" s="129">
        <v>21409.72</v>
      </c>
      <c r="BC73" s="129"/>
      <c r="BD73" s="129"/>
      <c r="BE73" s="129"/>
      <c r="BF73" s="129"/>
      <c r="BG73" s="230"/>
    </row>
    <row r="74" spans="1:59" s="89" customFormat="1" ht="12.75" hidden="1" customHeight="1" x14ac:dyDescent="0.2">
      <c r="A74" s="219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1"/>
      <c r="AY74" s="228"/>
      <c r="AZ74" s="102" t="s">
        <v>157</v>
      </c>
      <c r="BA74" s="129"/>
      <c r="BB74" s="129">
        <f>438793+71952.21-962.25</f>
        <v>509782.96</v>
      </c>
      <c r="BC74" s="129"/>
      <c r="BD74" s="129"/>
      <c r="BE74" s="129"/>
      <c r="BF74" s="129"/>
      <c r="BG74" s="230"/>
    </row>
    <row r="75" spans="1:59" s="89" customFormat="1" ht="12.75" hidden="1" customHeight="1" x14ac:dyDescent="0.2">
      <c r="A75" s="219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1"/>
      <c r="AY75" s="228"/>
      <c r="AZ75" s="102" t="s">
        <v>158</v>
      </c>
      <c r="BA75" s="129"/>
      <c r="BB75" s="129">
        <f>662858-56239.22+1400</f>
        <v>608018.78</v>
      </c>
      <c r="BC75" s="129"/>
      <c r="BD75" s="129"/>
      <c r="BE75" s="129"/>
      <c r="BF75" s="129"/>
      <c r="BG75" s="230"/>
    </row>
    <row r="76" spans="1:59" s="89" customFormat="1" ht="12.75" hidden="1" customHeight="1" x14ac:dyDescent="0.2">
      <c r="A76" s="219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1"/>
      <c r="AY76" s="228"/>
      <c r="AZ76" s="102" t="s">
        <v>223</v>
      </c>
      <c r="BA76" s="129"/>
      <c r="BB76" s="129"/>
      <c r="BC76" s="129"/>
      <c r="BD76" s="129"/>
      <c r="BE76" s="129"/>
      <c r="BF76" s="129"/>
      <c r="BG76" s="230"/>
    </row>
    <row r="77" spans="1:59" s="89" customFormat="1" ht="12.75" hidden="1" customHeight="1" x14ac:dyDescent="0.2">
      <c r="A77" s="219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1"/>
      <c r="AY77" s="228"/>
      <c r="AZ77" s="102" t="s">
        <v>222</v>
      </c>
      <c r="BA77" s="129"/>
      <c r="BB77" s="129">
        <f>57924-26049</f>
        <v>31875</v>
      </c>
      <c r="BC77" s="129"/>
      <c r="BD77" s="129"/>
      <c r="BE77" s="129"/>
      <c r="BF77" s="129"/>
      <c r="BG77" s="230"/>
    </row>
    <row r="78" spans="1:59" s="89" customFormat="1" ht="12.75" hidden="1" customHeight="1" x14ac:dyDescent="0.2">
      <c r="A78" s="219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1"/>
      <c r="AY78" s="228"/>
      <c r="AZ78" s="102" t="s">
        <v>221</v>
      </c>
      <c r="BA78" s="129"/>
      <c r="BB78" s="129"/>
      <c r="BC78" s="129"/>
      <c r="BD78" s="129"/>
      <c r="BE78" s="129"/>
      <c r="BF78" s="129"/>
      <c r="BG78" s="230"/>
    </row>
    <row r="79" spans="1:59" s="89" customFormat="1" ht="12.75" hidden="1" customHeight="1" x14ac:dyDescent="0.2">
      <c r="A79" s="219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1"/>
      <c r="AY79" s="228"/>
      <c r="AZ79" s="102" t="s">
        <v>224</v>
      </c>
      <c r="BA79" s="129"/>
      <c r="BB79" s="129">
        <f>4500-3337</f>
        <v>1163</v>
      </c>
      <c r="BC79" s="129"/>
      <c r="BD79" s="129"/>
      <c r="BE79" s="129"/>
      <c r="BF79" s="129"/>
      <c r="BG79" s="230"/>
    </row>
    <row r="80" spans="1:59" s="89" customFormat="1" ht="12.75" hidden="1" customHeight="1" x14ac:dyDescent="0.2">
      <c r="A80" s="219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1"/>
      <c r="AY80" s="228"/>
      <c r="AZ80" s="102" t="s">
        <v>195</v>
      </c>
      <c r="BA80" s="129"/>
      <c r="BB80" s="129">
        <f>51531-7736.71-837.75</f>
        <v>42956.54</v>
      </c>
      <c r="BC80" s="129"/>
      <c r="BD80" s="129"/>
      <c r="BE80" s="129"/>
      <c r="BF80" s="129"/>
      <c r="BG80" s="230"/>
    </row>
    <row r="81" spans="1:60" s="89" customFormat="1" ht="12.75" hidden="1" customHeight="1" x14ac:dyDescent="0.2">
      <c r="A81" s="219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1"/>
      <c r="AY81" s="228"/>
      <c r="AZ81" s="102" t="s">
        <v>220</v>
      </c>
      <c r="BA81" s="129"/>
      <c r="BB81" s="129">
        <v>0</v>
      </c>
      <c r="BC81" s="129"/>
      <c r="BD81" s="129"/>
      <c r="BE81" s="129"/>
      <c r="BF81" s="129"/>
      <c r="BG81" s="230"/>
    </row>
    <row r="82" spans="1:60" s="89" customFormat="1" ht="12.75" hidden="1" customHeight="1" x14ac:dyDescent="0.2">
      <c r="A82" s="219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1"/>
      <c r="AY82" s="228"/>
      <c r="AZ82" s="102"/>
      <c r="BA82" s="129"/>
      <c r="BB82" s="129"/>
      <c r="BC82" s="129"/>
      <c r="BD82" s="129"/>
      <c r="BE82" s="129"/>
      <c r="BF82" s="129"/>
      <c r="BG82" s="230"/>
    </row>
    <row r="83" spans="1:60" s="89" customFormat="1" ht="12.75" hidden="1" customHeight="1" x14ac:dyDescent="0.2">
      <c r="A83" s="219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1"/>
      <c r="AY83" s="228"/>
      <c r="AZ83" s="102"/>
      <c r="BA83" s="129"/>
      <c r="BB83" s="129"/>
      <c r="BC83" s="129"/>
      <c r="BD83" s="129"/>
      <c r="BE83" s="129"/>
      <c r="BF83" s="129"/>
      <c r="BG83" s="230"/>
    </row>
    <row r="84" spans="1:60" s="89" customFormat="1" ht="12.75" hidden="1" customHeight="1" x14ac:dyDescent="0.2">
      <c r="A84" s="219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1"/>
      <c r="AY84" s="242">
        <v>4199</v>
      </c>
      <c r="AZ84" s="102" t="s">
        <v>153</v>
      </c>
      <c r="BA84" s="129"/>
      <c r="BB84" s="129"/>
      <c r="BC84" s="129"/>
      <c r="BD84" s="129"/>
      <c r="BE84" s="129"/>
      <c r="BF84" s="129"/>
      <c r="BG84" s="230"/>
    </row>
    <row r="85" spans="1:60" s="89" customFormat="1" ht="12.75" hidden="1" customHeight="1" x14ac:dyDescent="0.2">
      <c r="A85" s="219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1"/>
      <c r="AY85" s="242"/>
      <c r="AZ85" s="102" t="s">
        <v>154</v>
      </c>
      <c r="BA85" s="129"/>
      <c r="BB85" s="129">
        <f>146287.39-145734.21</f>
        <v>553.18000000002212</v>
      </c>
      <c r="BC85" s="129"/>
      <c r="BD85" s="129"/>
      <c r="BE85" s="129"/>
      <c r="BF85" s="129"/>
      <c r="BG85" s="230"/>
      <c r="BH85" s="137"/>
    </row>
    <row r="86" spans="1:60" s="89" customFormat="1" ht="12.75" hidden="1" customHeight="1" x14ac:dyDescent="0.2">
      <c r="A86" s="219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1"/>
      <c r="AY86" s="242"/>
      <c r="AZ86" s="102" t="s">
        <v>155</v>
      </c>
      <c r="BA86" s="129"/>
      <c r="BB86" s="129">
        <f>434541.07-434541.07</f>
        <v>0</v>
      </c>
      <c r="BC86" s="129"/>
      <c r="BD86" s="129"/>
      <c r="BE86" s="129"/>
      <c r="BF86" s="129"/>
      <c r="BG86" s="230"/>
    </row>
    <row r="87" spans="1:60" s="89" customFormat="1" ht="12.75" hidden="1" customHeight="1" x14ac:dyDescent="0.2">
      <c r="A87" s="219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1"/>
      <c r="AY87" s="242"/>
      <c r="AZ87" s="102" t="s">
        <v>156</v>
      </c>
      <c r="BA87" s="129"/>
      <c r="BB87" s="129">
        <f>26982.96-24543.3</f>
        <v>2439.66</v>
      </c>
      <c r="BC87" s="129"/>
      <c r="BD87" s="129"/>
      <c r="BE87" s="129"/>
      <c r="BF87" s="129"/>
      <c r="BG87" s="230"/>
    </row>
    <row r="88" spans="1:60" s="89" customFormat="1" ht="12.75" hidden="1" customHeight="1" x14ac:dyDescent="0.2">
      <c r="A88" s="132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4"/>
      <c r="AY88" s="242"/>
      <c r="AZ88" s="102" t="s">
        <v>157</v>
      </c>
      <c r="BA88" s="129"/>
      <c r="BB88" s="129">
        <f>344541.58-262290.33</f>
        <v>82251.25</v>
      </c>
      <c r="BC88" s="129"/>
      <c r="BD88" s="129"/>
      <c r="BE88" s="129"/>
      <c r="BF88" s="129"/>
      <c r="BG88" s="230"/>
    </row>
    <row r="89" spans="1:60" s="89" customFormat="1" ht="12.75" hidden="1" customHeight="1" x14ac:dyDescent="0.2">
      <c r="A89" s="132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4"/>
      <c r="AY89" s="242"/>
      <c r="AZ89" s="102" t="s">
        <v>158</v>
      </c>
      <c r="BA89" s="129"/>
      <c r="BB89" s="129">
        <f>218000-218000</f>
        <v>0</v>
      </c>
      <c r="BC89" s="129"/>
      <c r="BD89" s="129"/>
      <c r="BE89" s="129"/>
      <c r="BF89" s="129"/>
      <c r="BG89" s="230"/>
    </row>
    <row r="90" spans="1:60" s="89" customFormat="1" ht="12.75" hidden="1" customHeight="1" x14ac:dyDescent="0.2">
      <c r="A90" s="132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4"/>
      <c r="AY90" s="242"/>
      <c r="AZ90" s="102" t="s">
        <v>195</v>
      </c>
      <c r="BA90" s="129"/>
      <c r="BB90" s="129">
        <f>42277+20000</f>
        <v>62277</v>
      </c>
      <c r="BC90" s="129"/>
      <c r="BD90" s="129"/>
      <c r="BE90" s="129"/>
      <c r="BF90" s="129"/>
      <c r="BG90" s="230"/>
    </row>
    <row r="91" spans="1:60" s="89" customFormat="1" ht="12.75" hidden="1" customHeight="1" x14ac:dyDescent="0.2">
      <c r="A91" s="132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4"/>
      <c r="AY91" s="242"/>
      <c r="AZ91" s="102" t="s">
        <v>221</v>
      </c>
      <c r="BA91" s="129"/>
      <c r="BB91" s="129">
        <v>166040.32999999999</v>
      </c>
      <c r="BC91" s="129"/>
      <c r="BD91" s="129"/>
      <c r="BE91" s="129"/>
      <c r="BF91" s="129"/>
      <c r="BG91" s="230"/>
    </row>
    <row r="92" spans="1:60" s="89" customFormat="1" ht="12.75" hidden="1" customHeight="1" x14ac:dyDescent="0.2">
      <c r="A92" s="138"/>
      <c r="B92" s="239" t="s">
        <v>268</v>
      </c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1"/>
      <c r="AY92" s="242"/>
      <c r="AZ92" s="102" t="s">
        <v>163</v>
      </c>
      <c r="BA92" s="129"/>
      <c r="BB92" s="129"/>
      <c r="BC92" s="129">
        <v>12160</v>
      </c>
      <c r="BD92" s="129"/>
      <c r="BE92" s="129"/>
      <c r="BF92" s="129"/>
      <c r="BG92" s="230"/>
    </row>
    <row r="93" spans="1:60" s="89" customFormat="1" ht="12.75" hidden="1" customHeight="1" x14ac:dyDescent="0.2">
      <c r="A93" s="138"/>
      <c r="B93" s="133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1"/>
      <c r="AY93" s="242"/>
      <c r="AZ93" s="102"/>
      <c r="BA93" s="129"/>
      <c r="BB93" s="129"/>
      <c r="BC93" s="129"/>
      <c r="BD93" s="129"/>
      <c r="BE93" s="129"/>
      <c r="BF93" s="129"/>
      <c r="BG93" s="230"/>
    </row>
    <row r="94" spans="1:60" s="89" customFormat="1" ht="12.75" hidden="1" customHeight="1" x14ac:dyDescent="0.2">
      <c r="A94" s="219" t="s">
        <v>169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1"/>
      <c r="AY94" s="242"/>
      <c r="AZ94" s="102" t="s">
        <v>295</v>
      </c>
      <c r="BA94" s="129"/>
      <c r="BB94" s="129"/>
      <c r="BC94" s="129">
        <v>4750</v>
      </c>
      <c r="BD94" s="129"/>
      <c r="BE94" s="129"/>
      <c r="BF94" s="129"/>
      <c r="BG94" s="230"/>
    </row>
    <row r="95" spans="1:60" s="89" customFormat="1" ht="12.75" hidden="1" customHeight="1" x14ac:dyDescent="0.2">
      <c r="A95" s="219" t="s">
        <v>169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1"/>
      <c r="AY95" s="101"/>
      <c r="AZ95" s="102" t="s">
        <v>196</v>
      </c>
      <c r="BA95" s="129"/>
      <c r="BB95" s="129"/>
      <c r="BC95" s="129">
        <f>49322+15478</f>
        <v>64800</v>
      </c>
      <c r="BD95" s="129"/>
      <c r="BE95" s="129"/>
      <c r="BF95" s="129"/>
      <c r="BG95" s="230"/>
    </row>
    <row r="96" spans="1:60" s="89" customFormat="1" ht="12.75" hidden="1" customHeight="1" x14ac:dyDescent="0.2">
      <c r="A96" s="219" t="s">
        <v>169</v>
      </c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1"/>
      <c r="AY96" s="101"/>
      <c r="AZ96" s="102" t="s">
        <v>158</v>
      </c>
      <c r="BA96" s="129"/>
      <c r="BB96" s="129"/>
      <c r="BC96" s="129">
        <f>53578-5414.72</f>
        <v>48163.28</v>
      </c>
      <c r="BD96" s="129"/>
      <c r="BE96" s="129"/>
      <c r="BF96" s="129"/>
      <c r="BG96" s="230"/>
    </row>
    <row r="97" spans="1:63" s="89" customFormat="1" ht="14.25" hidden="1" customHeight="1" x14ac:dyDescent="0.2">
      <c r="A97" s="219" t="s">
        <v>169</v>
      </c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1"/>
      <c r="AY97" s="101"/>
      <c r="AZ97" s="102" t="s">
        <v>195</v>
      </c>
      <c r="BA97" s="129"/>
      <c r="BB97" s="129"/>
      <c r="BC97" s="129">
        <f>36500-14813.28</f>
        <v>21686.720000000001</v>
      </c>
      <c r="BD97" s="129"/>
      <c r="BE97" s="129"/>
      <c r="BF97" s="129"/>
      <c r="BG97" s="230"/>
    </row>
    <row r="98" spans="1:63" s="89" customFormat="1" ht="14.25" hidden="1" customHeight="1" x14ac:dyDescent="0.2">
      <c r="A98" s="219" t="s">
        <v>173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1"/>
      <c r="AY98" s="101"/>
      <c r="AZ98" s="102" t="s">
        <v>157</v>
      </c>
      <c r="BA98" s="129"/>
      <c r="BB98" s="129"/>
      <c r="BC98" s="129">
        <v>1012318.48</v>
      </c>
      <c r="BD98" s="129"/>
      <c r="BE98" s="129"/>
      <c r="BF98" s="129"/>
      <c r="BG98" s="230"/>
    </row>
    <row r="99" spans="1:63" s="89" customFormat="1" ht="14.25" hidden="1" customHeight="1" x14ac:dyDescent="0.2">
      <c r="A99" s="219" t="s">
        <v>173</v>
      </c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1"/>
      <c r="AY99" s="101"/>
      <c r="AZ99" s="102"/>
      <c r="BA99" s="129"/>
      <c r="BB99" s="129"/>
      <c r="BC99" s="129"/>
      <c r="BD99" s="129"/>
      <c r="BE99" s="129"/>
      <c r="BF99" s="129"/>
      <c r="BG99" s="230"/>
    </row>
    <row r="100" spans="1:63" s="89" customFormat="1" ht="14.25" hidden="1" customHeight="1" x14ac:dyDescent="0.2">
      <c r="A100" s="219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1"/>
      <c r="AY100" s="227">
        <v>2001</v>
      </c>
      <c r="AZ100" s="102" t="s">
        <v>223</v>
      </c>
      <c r="BA100" s="129"/>
      <c r="BB100" s="129"/>
      <c r="BC100" s="129"/>
      <c r="BD100" s="129"/>
      <c r="BE100" s="129">
        <f>4585.09-4585.09</f>
        <v>0</v>
      </c>
      <c r="BF100" s="129"/>
      <c r="BG100" s="230"/>
    </row>
    <row r="101" spans="1:63" s="89" customFormat="1" ht="24.75" hidden="1" customHeight="1" x14ac:dyDescent="0.2">
      <c r="A101" s="219" t="s">
        <v>252</v>
      </c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1"/>
      <c r="AY101" s="228"/>
      <c r="AZ101" s="102" t="s">
        <v>195</v>
      </c>
      <c r="BA101" s="129"/>
      <c r="BB101" s="129"/>
      <c r="BC101" s="129"/>
      <c r="BD101" s="129"/>
      <c r="BE101" s="129"/>
      <c r="BF101" s="129"/>
      <c r="BG101" s="230"/>
    </row>
    <row r="102" spans="1:63" s="89" customFormat="1" ht="14.25" hidden="1" customHeight="1" x14ac:dyDescent="0.2">
      <c r="A102" s="154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6"/>
      <c r="AY102" s="228"/>
      <c r="AZ102" s="102" t="s">
        <v>153</v>
      </c>
      <c r="BA102" s="129"/>
      <c r="BB102" s="129"/>
      <c r="BC102" s="129"/>
      <c r="BD102" s="129"/>
      <c r="BE102" s="129">
        <f>50000-1254.87</f>
        <v>48745.13</v>
      </c>
      <c r="BF102" s="129"/>
      <c r="BG102" s="230"/>
    </row>
    <row r="103" spans="1:63" s="89" customFormat="1" ht="14.25" hidden="1" customHeight="1" x14ac:dyDescent="0.2">
      <c r="A103" s="158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60" t="s">
        <v>238</v>
      </c>
      <c r="AY103" s="228"/>
      <c r="AZ103" s="102" t="s">
        <v>159</v>
      </c>
      <c r="BA103" s="129"/>
      <c r="BB103" s="129"/>
      <c r="BC103" s="129"/>
      <c r="BD103" s="129"/>
      <c r="BE103" s="129">
        <f>16000+148.76+3423.87+0.06</f>
        <v>19572.690000000002</v>
      </c>
      <c r="BF103" s="129"/>
      <c r="BG103" s="230"/>
    </row>
    <row r="104" spans="1:63" s="89" customFormat="1" ht="14.25" hidden="1" customHeight="1" x14ac:dyDescent="0.2">
      <c r="A104" s="154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6" t="s">
        <v>160</v>
      </c>
      <c r="AY104" s="228"/>
      <c r="AZ104" s="102" t="s">
        <v>159</v>
      </c>
      <c r="BA104" s="129"/>
      <c r="BB104" s="129"/>
      <c r="BC104" s="129"/>
      <c r="BD104" s="129"/>
      <c r="BE104" s="129">
        <f>68000+19747.99</f>
        <v>87747.99</v>
      </c>
      <c r="BF104" s="129"/>
      <c r="BG104" s="230"/>
    </row>
    <row r="105" spans="1:63" s="89" customFormat="1" ht="14.25" hidden="1" customHeight="1" x14ac:dyDescent="0.2">
      <c r="A105" s="154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6" t="s">
        <v>161</v>
      </c>
      <c r="AY105" s="228"/>
      <c r="AZ105" s="102" t="s">
        <v>159</v>
      </c>
      <c r="BA105" s="129"/>
      <c r="BB105" s="129"/>
      <c r="BC105" s="129"/>
      <c r="BD105" s="129"/>
      <c r="BE105" s="129">
        <f>51000-3481.34</f>
        <v>47518.66</v>
      </c>
      <c r="BF105" s="129"/>
      <c r="BG105" s="230"/>
    </row>
    <row r="106" spans="1:63" s="89" customFormat="1" ht="14.25" hidden="1" customHeight="1" x14ac:dyDescent="0.2">
      <c r="A106" s="154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6" t="s">
        <v>162</v>
      </c>
      <c r="AY106" s="228"/>
      <c r="AZ106" s="102" t="s">
        <v>159</v>
      </c>
      <c r="BA106" s="129"/>
      <c r="BB106" s="129"/>
      <c r="BC106" s="129"/>
      <c r="BD106" s="129"/>
      <c r="BE106" s="129">
        <v>5000</v>
      </c>
      <c r="BF106" s="129"/>
      <c r="BG106" s="230"/>
      <c r="BH106" s="90" t="s">
        <v>219</v>
      </c>
      <c r="BI106" s="91" t="s">
        <v>164</v>
      </c>
      <c r="BJ106" s="91" t="s">
        <v>165</v>
      </c>
      <c r="BK106" s="91" t="s">
        <v>139</v>
      </c>
    </row>
    <row r="107" spans="1:63" s="89" customFormat="1" ht="14.25" hidden="1" customHeight="1" x14ac:dyDescent="0.2">
      <c r="A107" s="154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6"/>
      <c r="AY107" s="228"/>
      <c r="AZ107" s="102" t="s">
        <v>157</v>
      </c>
      <c r="BA107" s="129"/>
      <c r="BB107" s="129"/>
      <c r="BC107" s="129"/>
      <c r="BD107" s="129"/>
      <c r="BE107" s="129">
        <f>30000+79649</f>
        <v>109649</v>
      </c>
      <c r="BF107" s="129"/>
      <c r="BG107" s="230"/>
      <c r="BH107" s="90">
        <v>221</v>
      </c>
      <c r="BI107" s="92">
        <f>BE102+BE123</f>
        <v>48745.13</v>
      </c>
      <c r="BJ107" s="92">
        <f>BB69+BB84</f>
        <v>44400</v>
      </c>
      <c r="BK107" s="92">
        <f>BI107+BJ107</f>
        <v>93145.13</v>
      </c>
    </row>
    <row r="108" spans="1:63" s="89" customFormat="1" ht="14.25" hidden="1" customHeight="1" x14ac:dyDescent="0.2">
      <c r="A108" s="154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6"/>
      <c r="AY108" s="228"/>
      <c r="AZ108" s="102" t="s">
        <v>158</v>
      </c>
      <c r="BA108" s="129"/>
      <c r="BB108" s="129"/>
      <c r="BC108" s="129"/>
      <c r="BD108" s="129"/>
      <c r="BE108" s="129">
        <f>40000+42724.62</f>
        <v>82724.62</v>
      </c>
      <c r="BF108" s="129"/>
      <c r="BG108" s="230"/>
      <c r="BH108" s="90">
        <v>349</v>
      </c>
      <c r="BI108" s="92">
        <v>0</v>
      </c>
      <c r="BJ108" s="92">
        <f>BC95</f>
        <v>64800</v>
      </c>
      <c r="BK108" s="92">
        <f t="shared" ref="BK108:BK119" si="6">BI108+BJ108</f>
        <v>64800</v>
      </c>
    </row>
    <row r="109" spans="1:63" s="89" customFormat="1" ht="14.25" hidden="1" customHeight="1" x14ac:dyDescent="0.2">
      <c r="A109" s="154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6"/>
      <c r="AY109" s="228"/>
      <c r="AZ109" s="102" t="s">
        <v>163</v>
      </c>
      <c r="BA109" s="129"/>
      <c r="BB109" s="129"/>
      <c r="BC109" s="129"/>
      <c r="BD109" s="129"/>
      <c r="BE109" s="129">
        <f>140000+25000</f>
        <v>165000</v>
      </c>
      <c r="BF109" s="129"/>
      <c r="BG109" s="230"/>
      <c r="BH109" s="90">
        <v>223</v>
      </c>
      <c r="BI109" s="92">
        <f>BE104+BE105+BE106+BE120+BE121+BE122+BE103</f>
        <v>392232.61000000004</v>
      </c>
      <c r="BJ109" s="92">
        <f>BB70+BB71+BB72+BB85+BB86+BB87+BB73</f>
        <v>1879661.5599999998</v>
      </c>
      <c r="BK109" s="92">
        <f t="shared" si="6"/>
        <v>2271894.17</v>
      </c>
    </row>
    <row r="110" spans="1:63" s="89" customFormat="1" ht="14.25" hidden="1" customHeight="1" x14ac:dyDescent="0.2">
      <c r="A110" s="154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6"/>
      <c r="AY110" s="228"/>
      <c r="AZ110" s="102" t="s">
        <v>222</v>
      </c>
      <c r="BA110" s="129"/>
      <c r="BB110" s="129"/>
      <c r="BC110" s="129"/>
      <c r="BD110" s="129"/>
      <c r="BE110" s="129">
        <f>50000+45875-3423.87</f>
        <v>92451.13</v>
      </c>
      <c r="BF110" s="129"/>
      <c r="BG110" s="230"/>
      <c r="BH110" s="90">
        <v>225</v>
      </c>
      <c r="BI110" s="92">
        <f>BE107+BE115+BE124</f>
        <v>169649</v>
      </c>
      <c r="BJ110" s="92">
        <f>BB74+BB88+BC98</f>
        <v>1604352.69</v>
      </c>
      <c r="BK110" s="92">
        <f t="shared" si="6"/>
        <v>1774001.69</v>
      </c>
    </row>
    <row r="111" spans="1:63" s="89" customFormat="1" ht="14.25" hidden="1" customHeight="1" x14ac:dyDescent="0.2">
      <c r="A111" s="142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4"/>
      <c r="AY111" s="228"/>
      <c r="AZ111" s="102" t="s">
        <v>221</v>
      </c>
      <c r="BA111" s="129"/>
      <c r="BB111" s="129"/>
      <c r="BC111" s="129"/>
      <c r="BD111" s="129"/>
      <c r="BE111" s="129"/>
      <c r="BF111" s="129"/>
      <c r="BG111" s="230"/>
      <c r="BH111" s="90">
        <v>226</v>
      </c>
      <c r="BI111" s="92">
        <f>BE108+BE126</f>
        <v>82724.62</v>
      </c>
      <c r="BJ111" s="92">
        <f>BB75+BC96+BB89</f>
        <v>656182.06000000006</v>
      </c>
      <c r="BK111" s="92">
        <f t="shared" si="6"/>
        <v>738906.68</v>
      </c>
    </row>
    <row r="112" spans="1:63" s="89" customFormat="1" ht="14.25" hidden="1" customHeight="1" x14ac:dyDescent="0.2">
      <c r="A112" s="142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4"/>
      <c r="AY112" s="228"/>
      <c r="AZ112" s="102" t="s">
        <v>224</v>
      </c>
      <c r="BA112" s="129"/>
      <c r="BB112" s="129"/>
      <c r="BC112" s="129"/>
      <c r="BD112" s="129"/>
      <c r="BE112" s="129"/>
      <c r="BF112" s="129"/>
      <c r="BG112" s="230"/>
      <c r="BH112" s="90">
        <v>222</v>
      </c>
      <c r="BI112" s="92">
        <f>BE117</f>
        <v>0</v>
      </c>
      <c r="BJ112" s="92">
        <f>BC94</f>
        <v>4750</v>
      </c>
      <c r="BK112" s="92">
        <f t="shared" si="6"/>
        <v>4750</v>
      </c>
    </row>
    <row r="113" spans="1:64" s="89" customFormat="1" ht="14.25" hidden="1" customHeight="1" x14ac:dyDescent="0.2">
      <c r="A113" s="142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4"/>
      <c r="AY113" s="228"/>
      <c r="AZ113" s="102" t="s">
        <v>195</v>
      </c>
      <c r="BA113" s="129"/>
      <c r="BB113" s="129"/>
      <c r="BC113" s="129"/>
      <c r="BD113" s="129"/>
      <c r="BE113" s="129">
        <f>37000+12631</f>
        <v>49631</v>
      </c>
      <c r="BF113" s="129"/>
      <c r="BG113" s="230"/>
      <c r="BH113" s="90">
        <v>310</v>
      </c>
      <c r="BI113" s="92">
        <f>BE109+BE118+BE127</f>
        <v>165000</v>
      </c>
      <c r="BJ113" s="92">
        <f>BC92</f>
        <v>12160</v>
      </c>
      <c r="BK113" s="92">
        <f t="shared" si="6"/>
        <v>177160</v>
      </c>
    </row>
    <row r="114" spans="1:64" s="89" customFormat="1" ht="14.25" hidden="1" customHeight="1" x14ac:dyDescent="0.2">
      <c r="A114" s="142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4"/>
      <c r="AY114" s="229"/>
      <c r="AZ114" s="102" t="s">
        <v>220</v>
      </c>
      <c r="BA114" s="129"/>
      <c r="BB114" s="129"/>
      <c r="BC114" s="129"/>
      <c r="BD114" s="129"/>
      <c r="BE114" s="129"/>
      <c r="BF114" s="129"/>
      <c r="BG114" s="230"/>
      <c r="BH114" s="90">
        <v>343</v>
      </c>
      <c r="BI114" s="92">
        <f>BE110+BE125</f>
        <v>92451.13</v>
      </c>
      <c r="BJ114" s="92">
        <f>BB77</f>
        <v>31875</v>
      </c>
      <c r="BK114" s="92">
        <f t="shared" si="6"/>
        <v>124326.13</v>
      </c>
    </row>
    <row r="115" spans="1:64" s="89" customFormat="1" ht="14.25" hidden="1" customHeight="1" x14ac:dyDescent="0.2">
      <c r="A115" s="142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4"/>
      <c r="AY115" s="101">
        <v>2006</v>
      </c>
      <c r="AZ115" s="102" t="s">
        <v>157</v>
      </c>
      <c r="BA115" s="129"/>
      <c r="BB115" s="129"/>
      <c r="BC115" s="129"/>
      <c r="BD115" s="129"/>
      <c r="BE115" s="129">
        <v>60000</v>
      </c>
      <c r="BF115" s="129"/>
      <c r="BG115" s="230"/>
      <c r="BH115" s="90">
        <v>344</v>
      </c>
      <c r="BI115" s="92">
        <f>BE111+BE128</f>
        <v>0</v>
      </c>
      <c r="BJ115" s="92">
        <f>BB78+BB91</f>
        <v>166040.32999999999</v>
      </c>
      <c r="BK115" s="92">
        <f t="shared" si="6"/>
        <v>166040.32999999999</v>
      </c>
    </row>
    <row r="116" spans="1:64" s="89" customFormat="1" ht="14.25" hidden="1" customHeight="1" x14ac:dyDescent="0.2">
      <c r="A116" s="142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4"/>
      <c r="AY116" s="101"/>
      <c r="AZ116" s="102"/>
      <c r="BA116" s="129"/>
      <c r="BB116" s="129"/>
      <c r="BC116" s="129"/>
      <c r="BD116" s="129"/>
      <c r="BE116" s="129"/>
      <c r="BF116" s="129"/>
      <c r="BG116" s="230"/>
      <c r="BH116" s="90">
        <v>345</v>
      </c>
      <c r="BI116" s="93">
        <f>BE112</f>
        <v>0</v>
      </c>
      <c r="BJ116" s="93">
        <f>BB79</f>
        <v>1163</v>
      </c>
      <c r="BK116" s="92">
        <f t="shared" si="6"/>
        <v>1163</v>
      </c>
    </row>
    <row r="117" spans="1:64" s="89" customFormat="1" ht="14.25" hidden="1" customHeight="1" x14ac:dyDescent="0.2">
      <c r="A117" s="142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4"/>
      <c r="AY117" s="236">
        <v>2010</v>
      </c>
      <c r="AZ117" s="102" t="s">
        <v>189</v>
      </c>
      <c r="BA117" s="129"/>
      <c r="BB117" s="129"/>
      <c r="BC117" s="129"/>
      <c r="BD117" s="129"/>
      <c r="BE117" s="129">
        <v>0</v>
      </c>
      <c r="BF117" s="129"/>
      <c r="BG117" s="230"/>
      <c r="BH117" s="90">
        <v>346</v>
      </c>
      <c r="BI117" s="92">
        <f>BE113+BE119+BE129+BE101</f>
        <v>49631</v>
      </c>
      <c r="BJ117" s="92">
        <f>BB80+BB90+BC97</f>
        <v>126920.26000000001</v>
      </c>
      <c r="BK117" s="92">
        <f t="shared" si="6"/>
        <v>176551.26</v>
      </c>
    </row>
    <row r="118" spans="1:64" s="89" customFormat="1" ht="14.25" hidden="1" customHeight="1" x14ac:dyDescent="0.2">
      <c r="A118" s="142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4"/>
      <c r="AY118" s="237"/>
      <c r="AZ118" s="102" t="s">
        <v>163</v>
      </c>
      <c r="BA118" s="129"/>
      <c r="BB118" s="129"/>
      <c r="BC118" s="129"/>
      <c r="BD118" s="129"/>
      <c r="BE118" s="129"/>
      <c r="BF118" s="129"/>
      <c r="BG118" s="230"/>
      <c r="BH118" s="90">
        <v>353</v>
      </c>
      <c r="BI118" s="93">
        <f>BE114</f>
        <v>0</v>
      </c>
      <c r="BJ118" s="93">
        <f>BB81</f>
        <v>0</v>
      </c>
      <c r="BK118" s="92">
        <f t="shared" si="6"/>
        <v>0</v>
      </c>
    </row>
    <row r="119" spans="1:64" s="89" customFormat="1" ht="14.25" hidden="1" customHeight="1" x14ac:dyDescent="0.2">
      <c r="A119" s="142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4"/>
      <c r="AY119" s="238"/>
      <c r="AZ119" s="102" t="s">
        <v>195</v>
      </c>
      <c r="BA119" s="129"/>
      <c r="BB119" s="129"/>
      <c r="BC119" s="129"/>
      <c r="BD119" s="129"/>
      <c r="BE119" s="129"/>
      <c r="BF119" s="129"/>
      <c r="BG119" s="230"/>
      <c r="BH119" s="90">
        <v>227</v>
      </c>
      <c r="BI119" s="92">
        <f>BE100</f>
        <v>0</v>
      </c>
      <c r="BJ119" s="92">
        <f>BB76</f>
        <v>0</v>
      </c>
      <c r="BK119" s="92">
        <f t="shared" si="6"/>
        <v>0</v>
      </c>
      <c r="BL119" s="123">
        <f>BI137+BJ137</f>
        <v>2486283.5500000003</v>
      </c>
    </row>
    <row r="120" spans="1:64" s="89" customFormat="1" ht="14.25" hidden="1" customHeight="1" x14ac:dyDescent="0.2">
      <c r="A120" s="142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4" t="s">
        <v>160</v>
      </c>
      <c r="AY120" s="236">
        <v>2011</v>
      </c>
      <c r="AZ120" s="102" t="s">
        <v>159</v>
      </c>
      <c r="BA120" s="129"/>
      <c r="BB120" s="129"/>
      <c r="BC120" s="129"/>
      <c r="BD120" s="129"/>
      <c r="BE120" s="129">
        <f>70000+118843.27</f>
        <v>188843.27000000002</v>
      </c>
      <c r="BF120" s="129"/>
      <c r="BG120" s="230"/>
      <c r="BH120" s="90" t="s">
        <v>139</v>
      </c>
      <c r="BI120" s="93">
        <f>SUM(BI107:BI119)</f>
        <v>1000433.49</v>
      </c>
      <c r="BJ120" s="93">
        <f>SUM(BJ107:BJ119)</f>
        <v>4592304.9000000004</v>
      </c>
      <c r="BK120" s="93">
        <f>SUM(BK107:BK119)</f>
        <v>5592738.3899999997</v>
      </c>
      <c r="BL120" s="123">
        <f>BI138+BJ138</f>
        <v>816240</v>
      </c>
    </row>
    <row r="121" spans="1:64" s="89" customFormat="1" ht="14.25" hidden="1" customHeight="1" x14ac:dyDescent="0.2">
      <c r="A121" s="142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4" t="s">
        <v>161</v>
      </c>
      <c r="AY121" s="237"/>
      <c r="AZ121" s="102" t="s">
        <v>159</v>
      </c>
      <c r="BA121" s="129"/>
      <c r="BB121" s="129"/>
      <c r="BC121" s="129"/>
      <c r="BD121" s="129"/>
      <c r="BE121" s="129">
        <f>28000+12000</f>
        <v>40000</v>
      </c>
      <c r="BF121" s="129"/>
      <c r="BG121" s="230"/>
      <c r="BI121" s="157">
        <f>BE68-BI120</f>
        <v>0</v>
      </c>
      <c r="BJ121" s="157">
        <f>BB68+BC68-BJ120</f>
        <v>0</v>
      </c>
      <c r="BK121" s="157">
        <f>BA68-BK120</f>
        <v>0</v>
      </c>
      <c r="BL121" s="123">
        <f>BI139+BJ139</f>
        <v>140615.79</v>
      </c>
    </row>
    <row r="122" spans="1:64" s="89" customFormat="1" ht="14.25" hidden="1" customHeight="1" x14ac:dyDescent="0.2">
      <c r="A122" s="142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4" t="s">
        <v>162</v>
      </c>
      <c r="AY122" s="238"/>
      <c r="AZ122" s="102" t="s">
        <v>159</v>
      </c>
      <c r="BA122" s="129"/>
      <c r="BB122" s="129"/>
      <c r="BC122" s="129"/>
      <c r="BD122" s="129"/>
      <c r="BE122" s="129">
        <f>2000+1550</f>
        <v>3550</v>
      </c>
      <c r="BF122" s="129"/>
      <c r="BG122" s="230"/>
      <c r="BL122" s="123">
        <f>BI140+BJ140</f>
        <v>3443139.3400000003</v>
      </c>
    </row>
    <row r="123" spans="1:64" s="89" customFormat="1" ht="14.25" hidden="1" customHeight="1" x14ac:dyDescent="0.2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1"/>
      <c r="AY123" s="227">
        <v>2019</v>
      </c>
      <c r="AZ123" s="102" t="s">
        <v>153</v>
      </c>
      <c r="BA123" s="129"/>
      <c r="BB123" s="129"/>
      <c r="BC123" s="129"/>
      <c r="BD123" s="129"/>
      <c r="BE123" s="129"/>
      <c r="BF123" s="129"/>
      <c r="BG123" s="230"/>
    </row>
    <row r="124" spans="1:64" s="89" customFormat="1" ht="14.25" hidden="1" customHeight="1" x14ac:dyDescent="0.2">
      <c r="A124" s="219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1"/>
      <c r="AY124" s="228"/>
      <c r="AZ124" s="102" t="s">
        <v>157</v>
      </c>
      <c r="BA124" s="129"/>
      <c r="BB124" s="129"/>
      <c r="BC124" s="129"/>
      <c r="BD124" s="129"/>
      <c r="BE124" s="129"/>
      <c r="BF124" s="129"/>
      <c r="BG124" s="230"/>
    </row>
    <row r="125" spans="1:64" s="89" customFormat="1" ht="14.25" hidden="1" customHeight="1" x14ac:dyDescent="0.2">
      <c r="A125" s="154"/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6"/>
      <c r="AY125" s="228"/>
      <c r="AZ125" s="102" t="s">
        <v>222</v>
      </c>
      <c r="BA125" s="129"/>
      <c r="BB125" s="129"/>
      <c r="BC125" s="129"/>
      <c r="BD125" s="129"/>
      <c r="BE125" s="129"/>
      <c r="BF125" s="129"/>
      <c r="BG125" s="230"/>
    </row>
    <row r="126" spans="1:64" s="89" customFormat="1" ht="14.25" hidden="1" customHeight="1" x14ac:dyDescent="0.2">
      <c r="A126" s="219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1"/>
      <c r="AY126" s="228"/>
      <c r="AZ126" s="102" t="s">
        <v>158</v>
      </c>
      <c r="BA126" s="129"/>
      <c r="BB126" s="129"/>
      <c r="BC126" s="129"/>
      <c r="BD126" s="129"/>
      <c r="BE126" s="129"/>
      <c r="BF126" s="129"/>
      <c r="BG126" s="230"/>
    </row>
    <row r="127" spans="1:64" s="89" customFormat="1" ht="14.25" hidden="1" customHeight="1" x14ac:dyDescent="0.2">
      <c r="A127" s="142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4"/>
      <c r="AY127" s="228"/>
      <c r="AZ127" s="102" t="s">
        <v>163</v>
      </c>
      <c r="BA127" s="129"/>
      <c r="BB127" s="129"/>
      <c r="BC127" s="129"/>
      <c r="BD127" s="129"/>
      <c r="BE127" s="129"/>
      <c r="BF127" s="129"/>
      <c r="BG127" s="230"/>
      <c r="BH127" s="96" t="s">
        <v>287</v>
      </c>
      <c r="BI127" s="96"/>
      <c r="BJ127" s="96"/>
    </row>
    <row r="128" spans="1:64" s="89" customFormat="1" ht="14.25" hidden="1" customHeight="1" x14ac:dyDescent="0.2">
      <c r="A128" s="219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1"/>
      <c r="AY128" s="228"/>
      <c r="AZ128" s="102" t="s">
        <v>221</v>
      </c>
      <c r="BA128" s="129"/>
      <c r="BB128" s="129"/>
      <c r="BC128" s="129"/>
      <c r="BD128" s="129"/>
      <c r="BE128" s="129"/>
      <c r="BF128" s="129"/>
      <c r="BG128" s="230"/>
      <c r="BH128" s="97">
        <v>2001</v>
      </c>
      <c r="BI128" s="98"/>
      <c r="BJ128" s="222">
        <f>BI128+BI129+BI130+BI131+BI132+BI133+BI134</f>
        <v>794067.31</v>
      </c>
    </row>
    <row r="129" spans="1:63" s="89" customFormat="1" ht="12.75" hidden="1" customHeight="1" x14ac:dyDescent="0.2">
      <c r="A129" s="219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1"/>
      <c r="AY129" s="229"/>
      <c r="AZ129" s="102" t="s">
        <v>195</v>
      </c>
      <c r="BA129" s="129"/>
      <c r="BB129" s="129"/>
      <c r="BC129" s="129"/>
      <c r="BD129" s="129"/>
      <c r="BE129" s="129"/>
      <c r="BF129" s="129"/>
      <c r="BG129" s="230"/>
      <c r="BH129" s="97">
        <v>2010</v>
      </c>
      <c r="BI129" s="98"/>
      <c r="BJ129" s="223"/>
    </row>
    <row r="130" spans="1:63" ht="12.75" customHeight="1" x14ac:dyDescent="0.2">
      <c r="A130" s="6"/>
      <c r="B130" s="7"/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6"/>
      <c r="AY130" s="8"/>
      <c r="AZ130" s="72"/>
      <c r="BA130" s="127"/>
      <c r="BB130" s="128"/>
      <c r="BC130" s="128"/>
      <c r="BD130" s="128"/>
      <c r="BE130" s="128"/>
      <c r="BF130" s="128"/>
      <c r="BH130" s="97">
        <v>2011</v>
      </c>
      <c r="BI130" s="98">
        <v>132393.26999999999</v>
      </c>
      <c r="BJ130" s="223"/>
    </row>
    <row r="131" spans="1:63" ht="12.75" customHeight="1" x14ac:dyDescent="0.2">
      <c r="A131" s="136"/>
      <c r="B131" s="148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6"/>
      <c r="AY131" s="8"/>
      <c r="AZ131" s="72"/>
      <c r="BA131" s="127"/>
      <c r="BB131" s="128"/>
      <c r="BC131" s="128"/>
      <c r="BD131" s="128"/>
      <c r="BE131" s="128"/>
      <c r="BF131" s="128"/>
      <c r="BH131" s="97">
        <v>2019</v>
      </c>
      <c r="BI131" s="98"/>
      <c r="BJ131" s="223"/>
    </row>
    <row r="132" spans="1:63" ht="12.75" customHeight="1" x14ac:dyDescent="0.2">
      <c r="A132" s="5"/>
      <c r="B132" s="225" t="s">
        <v>41</v>
      </c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6"/>
      <c r="AY132" s="8">
        <v>300</v>
      </c>
      <c r="AZ132" s="72" t="s">
        <v>28</v>
      </c>
      <c r="BA132" s="127">
        <f t="shared" ref="BA132:BA137" si="7">BB132+BC132+BD132+BF132</f>
        <v>0</v>
      </c>
      <c r="BB132" s="128"/>
      <c r="BC132" s="128"/>
      <c r="BD132" s="128"/>
      <c r="BE132" s="128"/>
      <c r="BF132" s="128"/>
      <c r="BH132" s="97">
        <f>2026</f>
        <v>2026</v>
      </c>
      <c r="BI132" s="98"/>
      <c r="BJ132" s="224"/>
    </row>
    <row r="133" spans="1:63" ht="12.75" customHeight="1" x14ac:dyDescent="0.2">
      <c r="A133" s="6"/>
      <c r="B133" s="7"/>
      <c r="C133" s="225" t="s">
        <v>42</v>
      </c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6"/>
      <c r="AY133" s="8">
        <v>310</v>
      </c>
      <c r="AZ133" s="72"/>
      <c r="BA133" s="127">
        <f t="shared" si="7"/>
        <v>0</v>
      </c>
      <c r="BB133" s="128"/>
      <c r="BC133" s="128"/>
      <c r="BD133" s="128"/>
      <c r="BE133" s="128"/>
      <c r="BF133" s="128"/>
      <c r="BH133" s="97">
        <v>2021</v>
      </c>
      <c r="BI133" s="98"/>
      <c r="BJ133" s="104"/>
    </row>
    <row r="134" spans="1:63" ht="12.75" customHeight="1" x14ac:dyDescent="0.2">
      <c r="A134" s="136"/>
      <c r="B134" s="148"/>
      <c r="C134" s="225" t="s">
        <v>43</v>
      </c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6"/>
      <c r="AY134" s="8">
        <v>320</v>
      </c>
      <c r="AZ134" s="72"/>
      <c r="BA134" s="127">
        <f t="shared" si="7"/>
        <v>0</v>
      </c>
      <c r="BB134" s="128"/>
      <c r="BC134" s="128"/>
      <c r="BD134" s="128"/>
      <c r="BE134" s="128"/>
      <c r="BF134" s="128"/>
      <c r="BH134" s="97">
        <v>4000</v>
      </c>
      <c r="BI134" s="98">
        <v>661674.04</v>
      </c>
      <c r="BJ134" s="104"/>
    </row>
    <row r="135" spans="1:63" ht="12.75" customHeight="1" x14ac:dyDescent="0.2">
      <c r="A135" s="136"/>
      <c r="B135" s="148"/>
      <c r="C135" s="225" t="s">
        <v>44</v>
      </c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6"/>
      <c r="AY135" s="8">
        <v>400</v>
      </c>
      <c r="AZ135" s="72"/>
      <c r="BA135" s="127">
        <f t="shared" si="7"/>
        <v>0</v>
      </c>
      <c r="BB135" s="128"/>
      <c r="BC135" s="128"/>
      <c r="BD135" s="128"/>
      <c r="BE135" s="128"/>
      <c r="BF135" s="128"/>
      <c r="BH135" s="121"/>
      <c r="BI135" s="121"/>
      <c r="BJ135" s="121"/>
    </row>
    <row r="136" spans="1:63" ht="12.75" customHeight="1" x14ac:dyDescent="0.2">
      <c r="A136" s="136"/>
      <c r="B136" s="148"/>
      <c r="C136" s="225" t="s">
        <v>45</v>
      </c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6"/>
      <c r="AY136" s="8">
        <v>410</v>
      </c>
      <c r="AZ136" s="72"/>
      <c r="BA136" s="127">
        <f t="shared" si="7"/>
        <v>0</v>
      </c>
      <c r="BB136" s="128"/>
      <c r="BC136" s="128"/>
      <c r="BD136" s="128"/>
      <c r="BE136" s="128"/>
      <c r="BF136" s="128"/>
      <c r="BH136" s="90" t="s">
        <v>166</v>
      </c>
      <c r="BI136" s="90" t="s">
        <v>164</v>
      </c>
      <c r="BJ136" s="90" t="s">
        <v>188</v>
      </c>
      <c r="BK136" s="94"/>
    </row>
    <row r="137" spans="1:63" ht="12.75" customHeight="1" x14ac:dyDescent="0.2">
      <c r="A137" s="136"/>
      <c r="B137" s="148"/>
      <c r="C137" s="225" t="s">
        <v>46</v>
      </c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6"/>
      <c r="AY137" s="8">
        <v>420</v>
      </c>
      <c r="AZ137" s="72"/>
      <c r="BA137" s="127">
        <f t="shared" si="7"/>
        <v>0</v>
      </c>
      <c r="BB137" s="128"/>
      <c r="BC137" s="128"/>
      <c r="BD137" s="128"/>
      <c r="BE137" s="128"/>
      <c r="BF137" s="128"/>
      <c r="BH137" s="90" t="s">
        <v>160</v>
      </c>
      <c r="BI137" s="95">
        <f>BE108+BE120</f>
        <v>271567.89</v>
      </c>
      <c r="BJ137" s="95">
        <f>BB70+BB85+BC98</f>
        <v>2214715.66</v>
      </c>
      <c r="BK137" s="95"/>
    </row>
    <row r="138" spans="1:63" ht="14.25" customHeight="1" x14ac:dyDescent="0.2">
      <c r="A138" s="136"/>
      <c r="B138" s="210" t="s">
        <v>22</v>
      </c>
      <c r="C138" s="211" t="s">
        <v>11</v>
      </c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2"/>
      <c r="AY138" s="12" t="s">
        <v>23</v>
      </c>
      <c r="AZ138" s="72" t="s">
        <v>28</v>
      </c>
      <c r="BA138" s="127">
        <f>BB138+BC138+BD138+BE138</f>
        <v>794067.31</v>
      </c>
      <c r="BB138" s="131">
        <v>661674.04</v>
      </c>
      <c r="BC138" s="131">
        <v>0</v>
      </c>
      <c r="BD138" s="131">
        <v>0</v>
      </c>
      <c r="BE138" s="131">
        <v>132393.26999999999</v>
      </c>
      <c r="BF138" s="131">
        <v>0</v>
      </c>
      <c r="BH138" s="90" t="s">
        <v>161</v>
      </c>
      <c r="BI138" s="95">
        <f>BE109+BE121</f>
        <v>205000</v>
      </c>
      <c r="BJ138" s="95">
        <f>BB71+BB86</f>
        <v>611240</v>
      </c>
      <c r="BK138" s="95"/>
    </row>
    <row r="139" spans="1:63" ht="15" customHeight="1" x14ac:dyDescent="0.2">
      <c r="A139" s="136"/>
      <c r="B139" s="213" t="s">
        <v>24</v>
      </c>
      <c r="C139" s="214" t="s">
        <v>11</v>
      </c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146" t="s">
        <v>25</v>
      </c>
      <c r="AZ139" s="72" t="s">
        <v>28</v>
      </c>
      <c r="BA139" s="127">
        <f>BB139+BC139+BD139+BF139</f>
        <v>0</v>
      </c>
      <c r="BB139" s="128"/>
      <c r="BC139" s="128"/>
      <c r="BD139" s="128"/>
      <c r="BE139" s="128"/>
      <c r="BF139" s="128"/>
      <c r="BH139" s="90" t="s">
        <v>162</v>
      </c>
      <c r="BI139" s="95">
        <f>BE110+BE122</f>
        <v>96001.13</v>
      </c>
      <c r="BJ139" s="95">
        <f>BB72+BB87+BC99</f>
        <v>44614.66</v>
      </c>
      <c r="BK139" s="95"/>
    </row>
    <row r="140" spans="1:63" ht="14.25" customHeight="1" x14ac:dyDescent="0.2">
      <c r="A140" s="108"/>
      <c r="B140" s="115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2"/>
      <c r="AZ140" s="113"/>
      <c r="BA140" s="114"/>
      <c r="BB140" s="110"/>
      <c r="BC140" s="110"/>
      <c r="BD140" s="110"/>
      <c r="BE140" s="110"/>
      <c r="BF140" s="110"/>
      <c r="BH140" s="90"/>
      <c r="BI140" s="95">
        <f>SUM(BI137:BI139)</f>
        <v>572569.02</v>
      </c>
      <c r="BJ140" s="95">
        <f>SUM(BJ137:BJ139)</f>
        <v>2870570.3200000003</v>
      </c>
      <c r="BK140" s="95"/>
    </row>
    <row r="141" spans="1:63" ht="12.75" x14ac:dyDescent="0.2">
      <c r="A141" s="108"/>
      <c r="B141" s="109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2"/>
      <c r="AZ141" s="113"/>
      <c r="BA141" s="114"/>
      <c r="BB141" s="110"/>
      <c r="BC141" s="110"/>
      <c r="BD141" s="110"/>
      <c r="BE141" s="110"/>
      <c r="BF141" s="110"/>
      <c r="BH141" s="90"/>
      <c r="BI141" s="217">
        <f>BI140+BJ140</f>
        <v>3443139.3400000003</v>
      </c>
      <c r="BJ141" s="218"/>
      <c r="BK141" s="123"/>
    </row>
    <row r="142" spans="1:63" ht="25.5" customHeight="1" x14ac:dyDescent="0.2">
      <c r="A142" s="215" t="s">
        <v>51</v>
      </c>
      <c r="B142" s="215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BA142" s="105">
        <f t="shared" ref="BA142:BF142" si="8">BA24-BA9-BA138</f>
        <v>2.3283064365386963E-9</v>
      </c>
      <c r="BB142" s="105">
        <f t="shared" si="8"/>
        <v>2.7939677238464355E-9</v>
      </c>
      <c r="BC142" s="105">
        <f t="shared" si="8"/>
        <v>0</v>
      </c>
      <c r="BD142" s="105">
        <f t="shared" si="8"/>
        <v>0</v>
      </c>
      <c r="BE142" s="105">
        <f t="shared" si="8"/>
        <v>0</v>
      </c>
      <c r="BF142" s="105">
        <f t="shared" si="8"/>
        <v>0</v>
      </c>
      <c r="BG142" s="9"/>
    </row>
    <row r="143" spans="1:63" ht="10.15" customHeight="1" x14ac:dyDescent="0.2">
      <c r="BG143" s="9"/>
    </row>
    <row r="144" spans="1:63" ht="10.15" customHeight="1" x14ac:dyDescent="0.2">
      <c r="BG144" s="9"/>
    </row>
    <row r="145" spans="54:59" ht="10.15" customHeight="1" x14ac:dyDescent="0.2">
      <c r="BB145" s="107"/>
      <c r="BG145" s="9"/>
    </row>
    <row r="146" spans="54:59" ht="10.15" customHeight="1" x14ac:dyDescent="0.2">
      <c r="BG146" s="9"/>
    </row>
    <row r="147" spans="54:59" ht="10.15" customHeight="1" x14ac:dyDescent="0.2">
      <c r="BG147" s="9"/>
    </row>
    <row r="150" spans="54:59" ht="10.15" customHeight="1" x14ac:dyDescent="0.2">
      <c r="BG150" s="9"/>
    </row>
    <row r="151" spans="54:59" ht="10.15" customHeight="1" x14ac:dyDescent="0.2">
      <c r="BG151" s="9"/>
    </row>
    <row r="153" spans="54:59" ht="10.15" customHeight="1" x14ac:dyDescent="0.2">
      <c r="BG153" s="9"/>
    </row>
  </sheetData>
  <mergeCells count="128">
    <mergeCell ref="C57:AX57"/>
    <mergeCell ref="A59:AX59"/>
    <mergeCell ref="A60:AX60"/>
    <mergeCell ref="A98:AX98"/>
    <mergeCell ref="B35:AX35"/>
    <mergeCell ref="A83:AX83"/>
    <mergeCell ref="A77:AX77"/>
    <mergeCell ref="A80:AX80"/>
    <mergeCell ref="A81:AX81"/>
    <mergeCell ref="A82:AX82"/>
    <mergeCell ref="A79:AX79"/>
    <mergeCell ref="B44:AX44"/>
    <mergeCell ref="B43:AX43"/>
    <mergeCell ref="A58:AX58"/>
    <mergeCell ref="A71:AX71"/>
    <mergeCell ref="C61:AX61"/>
    <mergeCell ref="A75:AX75"/>
    <mergeCell ref="A70:AX70"/>
    <mergeCell ref="A97:AX97"/>
    <mergeCell ref="C66:AX66"/>
    <mergeCell ref="C67:AX67"/>
    <mergeCell ref="B68:AX68"/>
    <mergeCell ref="A51:AX51"/>
    <mergeCell ref="A53:AX53"/>
    <mergeCell ref="A52:AX52"/>
    <mergeCell ref="B9:AX9"/>
    <mergeCell ref="B10:AX10"/>
    <mergeCell ref="B11:AX11"/>
    <mergeCell ref="B18:AX18"/>
    <mergeCell ref="C28:AX28"/>
    <mergeCell ref="B41:AX41"/>
    <mergeCell ref="B25:AX25"/>
    <mergeCell ref="B24:AX24"/>
    <mergeCell ref="B16:AX16"/>
    <mergeCell ref="B17:AX17"/>
    <mergeCell ref="A21:AX21"/>
    <mergeCell ref="B23:AX23"/>
    <mergeCell ref="A13:AX13"/>
    <mergeCell ref="A14:AX14"/>
    <mergeCell ref="B19:AX19"/>
    <mergeCell ref="B36:AX36"/>
    <mergeCell ref="B38:AX38"/>
    <mergeCell ref="B29:AX29"/>
    <mergeCell ref="B37:AX37"/>
    <mergeCell ref="B40:AX40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BG12:BG14"/>
    <mergeCell ref="C47:AX47"/>
    <mergeCell ref="A15:AX15"/>
    <mergeCell ref="C27:AX27"/>
    <mergeCell ref="C46:AX46"/>
    <mergeCell ref="C34:AX34"/>
    <mergeCell ref="C48:AX48"/>
    <mergeCell ref="A56:AX56"/>
    <mergeCell ref="C30:AX30"/>
    <mergeCell ref="B32:AX32"/>
    <mergeCell ref="C42:AX42"/>
    <mergeCell ref="B45:AX45"/>
    <mergeCell ref="C49:AX49"/>
    <mergeCell ref="A50:AX50"/>
    <mergeCell ref="B54:AX54"/>
    <mergeCell ref="B33:AX33"/>
    <mergeCell ref="A22:AX22"/>
    <mergeCell ref="B26:AX26"/>
    <mergeCell ref="C31:AX31"/>
    <mergeCell ref="B20:AX20"/>
    <mergeCell ref="A55:AX55"/>
    <mergeCell ref="A12:AX12"/>
    <mergeCell ref="BG37:BG41"/>
    <mergeCell ref="B39:AX39"/>
    <mergeCell ref="BG61:BK61"/>
    <mergeCell ref="A62:AX62"/>
    <mergeCell ref="A64:AX64"/>
    <mergeCell ref="C65:AX65"/>
    <mergeCell ref="C137:AX137"/>
    <mergeCell ref="AY69:AY83"/>
    <mergeCell ref="A76:AX76"/>
    <mergeCell ref="A95:AX95"/>
    <mergeCell ref="A96:AX96"/>
    <mergeCell ref="AY120:AY122"/>
    <mergeCell ref="AY117:AY119"/>
    <mergeCell ref="AY100:AY114"/>
    <mergeCell ref="A78:AX78"/>
    <mergeCell ref="A74:AX74"/>
    <mergeCell ref="B92:AX92"/>
    <mergeCell ref="A84:AX84"/>
    <mergeCell ref="AY84:AY94"/>
    <mergeCell ref="A85:AX85"/>
    <mergeCell ref="A86:AX86"/>
    <mergeCell ref="A87:AX87"/>
    <mergeCell ref="C93:AX93"/>
    <mergeCell ref="A100:AX100"/>
    <mergeCell ref="A63:AX63"/>
    <mergeCell ref="A69:AX69"/>
    <mergeCell ref="B138:AX138"/>
    <mergeCell ref="B139:AX139"/>
    <mergeCell ref="A142:AX142"/>
    <mergeCell ref="BI141:BJ141"/>
    <mergeCell ref="A126:AX126"/>
    <mergeCell ref="A128:AX128"/>
    <mergeCell ref="BJ128:BJ132"/>
    <mergeCell ref="A129:AX129"/>
    <mergeCell ref="B132:AX132"/>
    <mergeCell ref="C134:AX134"/>
    <mergeCell ref="C135:AX135"/>
    <mergeCell ref="C136:AX136"/>
    <mergeCell ref="C133:AX133"/>
    <mergeCell ref="C130:AX130"/>
    <mergeCell ref="C131:AX131"/>
    <mergeCell ref="AY123:AY129"/>
    <mergeCell ref="BG69:BG129"/>
    <mergeCell ref="A72:AX72"/>
    <mergeCell ref="A124:AX124"/>
    <mergeCell ref="A123:AX123"/>
    <mergeCell ref="A99:AX99"/>
    <mergeCell ref="A101:AX101"/>
    <mergeCell ref="A94:AX94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zoomScaleNormal="100" zoomScaleSheetLayoutView="100" workbookViewId="0">
      <pane ySplit="8" topLeftCell="A9" activePane="bottomLeft" state="frozen"/>
      <selection pane="bottomLeft" activeCell="BA43" sqref="BA43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50" t="s">
        <v>192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59" ht="12.75" x14ac:dyDescent="0.2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"/>
      <c r="BD3" s="1"/>
      <c r="BE3" s="1"/>
      <c r="BF3" s="1"/>
    </row>
    <row r="4" spans="1:59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6" t="s">
        <v>2</v>
      </c>
      <c r="BA4" s="251" t="s">
        <v>3</v>
      </c>
      <c r="BB4" s="252"/>
      <c r="BC4" s="252"/>
      <c r="BD4" s="252"/>
      <c r="BE4" s="252"/>
      <c r="BF4" s="252"/>
    </row>
    <row r="5" spans="1:59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67"/>
      <c r="BA5" s="267" t="s">
        <v>26</v>
      </c>
      <c r="BB5" s="268" t="s">
        <v>4</v>
      </c>
      <c r="BC5" s="268"/>
      <c r="BD5" s="268"/>
      <c r="BE5" s="268"/>
      <c r="BF5" s="268"/>
    </row>
    <row r="6" spans="1:59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67"/>
      <c r="BA6" s="267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59" ht="31.5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68"/>
      <c r="BA7" s="268"/>
      <c r="BB7" s="254"/>
      <c r="BC7" s="254"/>
      <c r="BD7" s="254"/>
      <c r="BE7" s="173" t="s">
        <v>9</v>
      </c>
      <c r="BF7" s="173" t="s">
        <v>10</v>
      </c>
    </row>
    <row r="8" spans="1:59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174">
        <v>3</v>
      </c>
      <c r="BA8" s="174">
        <v>4</v>
      </c>
      <c r="BB8" s="174">
        <v>5</v>
      </c>
      <c r="BC8" s="174">
        <v>6</v>
      </c>
      <c r="BD8" s="174">
        <v>7</v>
      </c>
      <c r="BE8" s="173">
        <v>8</v>
      </c>
      <c r="BF8" s="173">
        <v>9</v>
      </c>
    </row>
    <row r="9" spans="1:59" s="9" customFormat="1" ht="23.25" customHeight="1" x14ac:dyDescent="0.2">
      <c r="A9" s="3"/>
      <c r="B9" s="270" t="s">
        <v>27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1"/>
      <c r="AY9" s="11">
        <v>100</v>
      </c>
      <c r="AZ9" s="72" t="s">
        <v>28</v>
      </c>
      <c r="BA9" s="140">
        <f>BA10+BA11+BA13+BA14+BA15+BA16+BA17+BA12</f>
        <v>23047500</v>
      </c>
      <c r="BB9" s="140">
        <f>BB11</f>
        <v>21431390</v>
      </c>
      <c r="BC9" s="140">
        <f>BC15</f>
        <v>56110</v>
      </c>
      <c r="BD9" s="140">
        <f>BD15</f>
        <v>0</v>
      </c>
      <c r="BE9" s="140">
        <f>BE10+BE11+BE13+BE14+BE16+BE17+BE12</f>
        <v>1560000</v>
      </c>
      <c r="BF9" s="140">
        <f>BF11+BF16</f>
        <v>0</v>
      </c>
      <c r="BG9" s="153">
        <f>BA9+BA47-BA19</f>
        <v>0</v>
      </c>
    </row>
    <row r="10" spans="1:59" ht="21.75" customHeight="1" x14ac:dyDescent="0.2">
      <c r="A10" s="5"/>
      <c r="B10" s="225" t="s">
        <v>47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6"/>
      <c r="AY10" s="8">
        <v>110</v>
      </c>
      <c r="AZ10" s="4" t="s">
        <v>181</v>
      </c>
      <c r="BA10" s="79">
        <f>BE10</f>
        <v>0</v>
      </c>
      <c r="BB10" s="79" t="s">
        <v>28</v>
      </c>
      <c r="BC10" s="79" t="s">
        <v>28</v>
      </c>
      <c r="BD10" s="79" t="s">
        <v>28</v>
      </c>
      <c r="BE10" s="79"/>
      <c r="BF10" s="79" t="s">
        <v>28</v>
      </c>
      <c r="BG10" s="9" t="s">
        <v>29</v>
      </c>
    </row>
    <row r="11" spans="1:59" ht="17.25" customHeight="1" x14ac:dyDescent="0.2">
      <c r="A11" s="5"/>
      <c r="B11" s="225" t="s">
        <v>199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6"/>
      <c r="AY11" s="8">
        <v>120</v>
      </c>
      <c r="AZ11" s="4" t="s">
        <v>182</v>
      </c>
      <c r="BA11" s="79">
        <f>BB11+BE11+BF11</f>
        <v>22831390</v>
      </c>
      <c r="BB11" s="79">
        <v>21431390</v>
      </c>
      <c r="BC11" s="79" t="s">
        <v>28</v>
      </c>
      <c r="BD11" s="79" t="s">
        <v>28</v>
      </c>
      <c r="BE11" s="79">
        <v>1400000</v>
      </c>
      <c r="BF11" s="79">
        <v>0</v>
      </c>
      <c r="BG11" s="9" t="s">
        <v>185</v>
      </c>
    </row>
    <row r="12" spans="1:59" ht="18" customHeight="1" x14ac:dyDescent="0.2">
      <c r="A12" s="5"/>
      <c r="B12" s="225" t="s">
        <v>200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6"/>
      <c r="AY12" s="8">
        <v>130</v>
      </c>
      <c r="AZ12" s="4" t="s">
        <v>186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v>100000</v>
      </c>
      <c r="BF12" s="79">
        <v>0</v>
      </c>
      <c r="BG12" s="141">
        <v>2011</v>
      </c>
    </row>
    <row r="13" spans="1:59" ht="21" customHeight="1" x14ac:dyDescent="0.2">
      <c r="A13" s="5"/>
      <c r="B13" s="225" t="s">
        <v>201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6"/>
      <c r="AY13" s="8">
        <v>140</v>
      </c>
      <c r="AZ13" s="4" t="s">
        <v>183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25" t="s">
        <v>30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6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25" t="s">
        <v>209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6"/>
      <c r="AY15" s="8">
        <v>160</v>
      </c>
      <c r="AZ15" s="4" t="s">
        <v>197</v>
      </c>
      <c r="BA15" s="79">
        <f>BC15+BD15</f>
        <v>56110</v>
      </c>
      <c r="BB15" s="79" t="s">
        <v>28</v>
      </c>
      <c r="BC15" s="79">
        <v>56110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25" t="s">
        <v>203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6"/>
      <c r="AY16" s="8">
        <v>17</v>
      </c>
      <c r="AZ16" s="4" t="s">
        <v>184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25" t="s">
        <v>31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6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6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70" t="s">
        <v>34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1"/>
      <c r="AY19" s="11">
        <v>200</v>
      </c>
      <c r="AZ19" s="72" t="s">
        <v>28</v>
      </c>
      <c r="BA19" s="140">
        <f>BA20+BA26+BA29+BA34+BA36+BA37</f>
        <v>23047500</v>
      </c>
      <c r="BB19" s="140">
        <f>BB20+BB26+BB29+BB34+BB36+BB37</f>
        <v>21431390</v>
      </c>
      <c r="BC19" s="140">
        <f>BC20+BC26+BC29+BC34+BC36+BC37</f>
        <v>56110</v>
      </c>
      <c r="BD19" s="140">
        <f t="shared" ref="BD19:BE19" si="0">BD20+BD26+BD29+BD34+BD36+BD37</f>
        <v>0</v>
      </c>
      <c r="BE19" s="140">
        <f t="shared" si="0"/>
        <v>1560000</v>
      </c>
      <c r="BF19" s="140">
        <f>BF20+BF26+BF29+BF34+BF36+BF37</f>
        <v>0</v>
      </c>
      <c r="BG19" s="81"/>
    </row>
    <row r="20" spans="1:59" ht="36" customHeight="1" x14ac:dyDescent="0.2">
      <c r="A20" s="5"/>
      <c r="B20" s="211" t="s">
        <v>35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2"/>
      <c r="AY20" s="12">
        <v>210</v>
      </c>
      <c r="AZ20" s="13"/>
      <c r="BA20" s="82">
        <f>BA21+BA24+BA25</f>
        <v>18972610</v>
      </c>
      <c r="BB20" s="82">
        <f>BB21+BB24+BB25</f>
        <v>18044000</v>
      </c>
      <c r="BC20" s="82">
        <f t="shared" ref="BC20:BF20" si="1">BC21+BC24+BC25</f>
        <v>16610</v>
      </c>
      <c r="BD20" s="82">
        <f t="shared" si="1"/>
        <v>0</v>
      </c>
      <c r="BE20" s="82">
        <f t="shared" si="1"/>
        <v>912000</v>
      </c>
      <c r="BF20" s="82">
        <f t="shared" si="1"/>
        <v>0</v>
      </c>
    </row>
    <row r="21" spans="1:59" ht="35.25" customHeight="1" x14ac:dyDescent="0.2">
      <c r="A21" s="5"/>
      <c r="B21" s="211" t="s">
        <v>36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2"/>
      <c r="AY21" s="12">
        <v>211</v>
      </c>
      <c r="AZ21" s="13"/>
      <c r="BA21" s="82">
        <f>SUM(BA22:BA23)</f>
        <v>18824000</v>
      </c>
      <c r="BB21" s="82">
        <f t="shared" ref="BB21:BF21" si="2">SUM(BB22:BB23)</f>
        <v>17912000</v>
      </c>
      <c r="BC21" s="82">
        <f t="shared" si="2"/>
        <v>0</v>
      </c>
      <c r="BD21" s="82">
        <f t="shared" si="2"/>
        <v>0</v>
      </c>
      <c r="BE21" s="82">
        <f t="shared" si="2"/>
        <v>912000</v>
      </c>
      <c r="BF21" s="82">
        <f t="shared" si="2"/>
        <v>0</v>
      </c>
    </row>
    <row r="22" spans="1:59" ht="12.75" x14ac:dyDescent="0.2">
      <c r="A22" s="6"/>
      <c r="B22" s="7"/>
      <c r="C22" s="225" t="s">
        <v>204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6"/>
      <c r="AY22" s="8"/>
      <c r="AZ22" s="4" t="s">
        <v>15</v>
      </c>
      <c r="BA22" s="79">
        <f>BB22+BC22+BD22+BE22</f>
        <v>14528100</v>
      </c>
      <c r="BB22" s="79">
        <f>13798100+30000</f>
        <v>13828100</v>
      </c>
      <c r="BC22" s="79">
        <v>0</v>
      </c>
      <c r="BD22" s="79"/>
      <c r="BE22" s="79">
        <v>700000</v>
      </c>
      <c r="BF22" s="79"/>
      <c r="BG22" s="30" t="s">
        <v>179</v>
      </c>
    </row>
    <row r="23" spans="1:59" ht="50.25" customHeight="1" x14ac:dyDescent="0.2">
      <c r="A23" s="136"/>
      <c r="B23" s="175"/>
      <c r="C23" s="225" t="s">
        <v>205</v>
      </c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6"/>
      <c r="AY23" s="8"/>
      <c r="AZ23" s="4" t="s">
        <v>16</v>
      </c>
      <c r="BA23" s="79">
        <f>BB23+BC23+BD23+BE23</f>
        <v>4295900</v>
      </c>
      <c r="BB23" s="79">
        <v>4083900</v>
      </c>
      <c r="BC23" s="79">
        <v>0</v>
      </c>
      <c r="BD23" s="79"/>
      <c r="BE23" s="79">
        <v>212000</v>
      </c>
      <c r="BF23" s="79">
        <v>0</v>
      </c>
      <c r="BG23" s="30" t="s">
        <v>180</v>
      </c>
    </row>
    <row r="24" spans="1:59" ht="30" customHeight="1" x14ac:dyDescent="0.2">
      <c r="A24" s="136"/>
      <c r="B24" s="175"/>
      <c r="C24" s="225" t="s">
        <v>210</v>
      </c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6"/>
      <c r="AY24" s="8"/>
      <c r="AZ24" s="4" t="s">
        <v>14</v>
      </c>
      <c r="BA24" s="79">
        <f>BB24+BC24+BD24+BE24</f>
        <v>62210</v>
      </c>
      <c r="BB24" s="79">
        <v>45600</v>
      </c>
      <c r="BC24" s="79">
        <f>14000+2610</f>
        <v>16610</v>
      </c>
      <c r="BD24" s="79"/>
      <c r="BE24" s="79"/>
      <c r="BF24" s="79">
        <v>0</v>
      </c>
      <c r="BG24" s="9" t="s">
        <v>198</v>
      </c>
    </row>
    <row r="25" spans="1:59" ht="53.25" customHeight="1" x14ac:dyDescent="0.2">
      <c r="A25" s="136"/>
      <c r="B25" s="175"/>
      <c r="C25" s="225" t="s">
        <v>211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6"/>
      <c r="AY25" s="8"/>
      <c r="AZ25" s="4" t="s">
        <v>20</v>
      </c>
      <c r="BA25" s="79">
        <f>BB25+BC25+BD25+BE25</f>
        <v>86400</v>
      </c>
      <c r="BB25" s="79">
        <v>86400</v>
      </c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1" t="s">
        <v>37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25" t="s">
        <v>12</v>
      </c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6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7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6"/>
      <c r="AY28" s="8"/>
      <c r="AZ28" s="4" t="s">
        <v>193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194</v>
      </c>
    </row>
    <row r="29" spans="1:59" ht="21.95" customHeight="1" x14ac:dyDescent="0.2">
      <c r="A29" s="136"/>
      <c r="B29" s="175"/>
      <c r="C29" s="211" t="s">
        <v>38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2"/>
      <c r="AY29" s="12">
        <v>230</v>
      </c>
      <c r="AZ29" s="13"/>
      <c r="BA29" s="82">
        <f>BA31+BA32+BA33</f>
        <v>127907</v>
      </c>
      <c r="BB29" s="82">
        <f>BB31+BB32+BB33</f>
        <v>126907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1000</v>
      </c>
      <c r="BF29" s="82">
        <f>BF31+BF32+BF33</f>
        <v>0</v>
      </c>
    </row>
    <row r="30" spans="1:59" ht="10.5" customHeight="1" x14ac:dyDescent="0.2">
      <c r="A30" s="136"/>
      <c r="B30" s="175"/>
      <c r="C30" s="225" t="s">
        <v>12</v>
      </c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6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25" t="s">
        <v>207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6"/>
      <c r="AY31" s="8"/>
      <c r="AZ31" s="4" t="s">
        <v>21</v>
      </c>
      <c r="BA31" s="79">
        <f>BB31+BC31+BD31+BE31</f>
        <v>102456</v>
      </c>
      <c r="BB31" s="79">
        <v>102456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25" t="s">
        <v>212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6"/>
      <c r="AY32" s="8"/>
      <c r="AZ32" s="4" t="s">
        <v>18</v>
      </c>
      <c r="BA32" s="79">
        <f>BB32+BC32+BD32+BE32</f>
        <v>24451</v>
      </c>
      <c r="BB32" s="79">
        <f>1451+23000</f>
        <v>24451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75"/>
      <c r="C33" s="225" t="s">
        <v>213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6"/>
      <c r="AY33" s="8"/>
      <c r="AZ33" s="4" t="s">
        <v>19</v>
      </c>
      <c r="BA33" s="79">
        <f t="shared" ref="BA33" si="5">BB33+BC33+BD33+BE33</f>
        <v>1000</v>
      </c>
      <c r="BB33" s="79">
        <v>0</v>
      </c>
      <c r="BC33" s="79">
        <v>0</v>
      </c>
      <c r="BD33" s="79"/>
      <c r="BE33" s="79">
        <v>1000</v>
      </c>
      <c r="BF33" s="79">
        <v>0</v>
      </c>
    </row>
    <row r="34" spans="1:59" ht="23.25" hidden="1" customHeight="1" x14ac:dyDescent="0.2">
      <c r="A34" s="136"/>
      <c r="B34" s="175"/>
      <c r="C34" s="211" t="s">
        <v>39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2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7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6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75"/>
      <c r="C36" s="211" t="s">
        <v>40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2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1" t="s">
        <v>214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2"/>
      <c r="AY37" s="12">
        <v>260</v>
      </c>
      <c r="AZ37" s="13" t="s">
        <v>13</v>
      </c>
      <c r="BA37" s="82">
        <f>BB37+BC37+BD37+BE37</f>
        <v>3946983</v>
      </c>
      <c r="BB37" s="82">
        <f>44400+1295975+659075+45427+438793+662858+57924+4500+51531</f>
        <v>3260483</v>
      </c>
      <c r="BC37" s="82">
        <f>30178+9322</f>
        <v>39500</v>
      </c>
      <c r="BD37" s="82"/>
      <c r="BE37" s="82">
        <f>50000+140000+30000+60000+40000+140000+50000+37000+100000</f>
        <v>647000</v>
      </c>
      <c r="BF37" s="82">
        <v>0</v>
      </c>
    </row>
    <row r="38" spans="1:59" ht="12.75" x14ac:dyDescent="0.2">
      <c r="A38" s="6"/>
      <c r="B38" s="7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6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7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6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25" t="s">
        <v>41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6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25" t="s">
        <v>42</v>
      </c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6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75"/>
      <c r="C42" s="225" t="s">
        <v>43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6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75"/>
      <c r="C43" s="225" t="s">
        <v>44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6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75"/>
      <c r="C44" s="225" t="s">
        <v>45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6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75"/>
      <c r="C45" s="225" t="s">
        <v>46</v>
      </c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6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10" t="s">
        <v>22</v>
      </c>
      <c r="C46" s="211" t="s">
        <v>11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2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5" t="s">
        <v>24</v>
      </c>
      <c r="C47" s="225" t="s">
        <v>11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6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15" t="s">
        <v>51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10.15" customHeight="1" x14ac:dyDescent="0.2">
      <c r="BE49" s="30"/>
    </row>
    <row r="50" spans="57:57" ht="10.15" customHeight="1" x14ac:dyDescent="0.2">
      <c r="BE50" s="30"/>
    </row>
  </sheetData>
  <mergeCells count="52"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  <mergeCell ref="C36:AX36"/>
    <mergeCell ref="B37:AX37"/>
    <mergeCell ref="C39:AX39"/>
    <mergeCell ref="B40:AX40"/>
    <mergeCell ref="C35:AX35"/>
    <mergeCell ref="C24:AX24"/>
    <mergeCell ref="C27:AX27"/>
    <mergeCell ref="C28:AX28"/>
    <mergeCell ref="C29:AX29"/>
    <mergeCell ref="C32:AX32"/>
    <mergeCell ref="C33:AX33"/>
    <mergeCell ref="C34:AX34"/>
    <mergeCell ref="C25:AX25"/>
    <mergeCell ref="B26:AX26"/>
    <mergeCell ref="C30:AX30"/>
    <mergeCell ref="B31:AX31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37" activePane="bottomLeft" state="frozen"/>
      <selection pane="bottomLeft" activeCell="AY58" sqref="AY58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50" t="s">
        <v>274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59" ht="12.75" x14ac:dyDescent="0.2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"/>
      <c r="BD3" s="1"/>
      <c r="BE3" s="1"/>
      <c r="BF3" s="1"/>
    </row>
    <row r="4" spans="1:59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6" t="s">
        <v>2</v>
      </c>
      <c r="BA4" s="251" t="s">
        <v>3</v>
      </c>
      <c r="BB4" s="252"/>
      <c r="BC4" s="252"/>
      <c r="BD4" s="252"/>
      <c r="BE4" s="252"/>
      <c r="BF4" s="252"/>
    </row>
    <row r="5" spans="1:59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67"/>
      <c r="BA5" s="267" t="s">
        <v>26</v>
      </c>
      <c r="BB5" s="268" t="s">
        <v>4</v>
      </c>
      <c r="BC5" s="268"/>
      <c r="BD5" s="268"/>
      <c r="BE5" s="268"/>
      <c r="BF5" s="268"/>
    </row>
    <row r="6" spans="1:59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67"/>
      <c r="BA6" s="267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59" ht="31.5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68"/>
      <c r="BA7" s="268"/>
      <c r="BB7" s="254"/>
      <c r="BC7" s="254"/>
      <c r="BD7" s="254"/>
      <c r="BE7" s="150" t="s">
        <v>9</v>
      </c>
      <c r="BF7" s="150" t="s">
        <v>10</v>
      </c>
    </row>
    <row r="8" spans="1:59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151">
        <v>3</v>
      </c>
      <c r="BA8" s="151">
        <v>4</v>
      </c>
      <c r="BB8" s="151">
        <v>5</v>
      </c>
      <c r="BC8" s="151">
        <v>6</v>
      </c>
      <c r="BD8" s="151">
        <v>7</v>
      </c>
      <c r="BE8" s="150">
        <v>8</v>
      </c>
      <c r="BF8" s="150">
        <v>9</v>
      </c>
    </row>
    <row r="9" spans="1:59" s="9" customFormat="1" ht="23.25" customHeight="1" x14ac:dyDescent="0.2">
      <c r="A9" s="3"/>
      <c r="B9" s="270" t="s">
        <v>27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1"/>
      <c r="AY9" s="11">
        <v>100</v>
      </c>
      <c r="AZ9" s="72" t="s">
        <v>28</v>
      </c>
      <c r="BA9" s="140">
        <f>BA10+BA11+BA13+BA14+BA15+BA16+BA17+BA12</f>
        <v>23105568</v>
      </c>
      <c r="BB9" s="140">
        <f>BB11</f>
        <v>21489458</v>
      </c>
      <c r="BC9" s="140">
        <f>BC15</f>
        <v>56110</v>
      </c>
      <c r="BD9" s="140">
        <f>BD15</f>
        <v>0</v>
      </c>
      <c r="BE9" s="140">
        <f>BE10+BE11+BE13+BE14+BE16+BE17+BE12</f>
        <v>1560000</v>
      </c>
      <c r="BF9" s="140">
        <f>BF11+BF16</f>
        <v>0</v>
      </c>
      <c r="BG9" s="153">
        <f>BA9+BA47-BA19</f>
        <v>0</v>
      </c>
    </row>
    <row r="10" spans="1:59" ht="21.75" customHeight="1" x14ac:dyDescent="0.2">
      <c r="A10" s="5"/>
      <c r="B10" s="225" t="s">
        <v>47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6"/>
      <c r="AY10" s="8">
        <v>110</v>
      </c>
      <c r="AZ10" s="4" t="s">
        <v>181</v>
      </c>
      <c r="BA10" s="79">
        <f>BE10</f>
        <v>0</v>
      </c>
      <c r="BB10" s="79" t="s">
        <v>28</v>
      </c>
      <c r="BC10" s="79" t="s">
        <v>28</v>
      </c>
      <c r="BD10" s="79" t="s">
        <v>28</v>
      </c>
      <c r="BE10" s="79"/>
      <c r="BF10" s="79" t="s">
        <v>28</v>
      </c>
      <c r="BG10" s="9" t="s">
        <v>29</v>
      </c>
    </row>
    <row r="11" spans="1:59" ht="17.25" customHeight="1" x14ac:dyDescent="0.2">
      <c r="A11" s="5"/>
      <c r="B11" s="225" t="s">
        <v>199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6"/>
      <c r="AY11" s="8">
        <v>120</v>
      </c>
      <c r="AZ11" s="4" t="s">
        <v>182</v>
      </c>
      <c r="BA11" s="79">
        <f>BB11+BE11+BF11</f>
        <v>22889458</v>
      </c>
      <c r="BB11" s="79">
        <v>21489458</v>
      </c>
      <c r="BC11" s="79" t="s">
        <v>28</v>
      </c>
      <c r="BD11" s="79" t="s">
        <v>28</v>
      </c>
      <c r="BE11" s="79">
        <v>1400000</v>
      </c>
      <c r="BF11" s="79">
        <v>0</v>
      </c>
      <c r="BG11" s="9" t="s">
        <v>185</v>
      </c>
    </row>
    <row r="12" spans="1:59" ht="18" customHeight="1" x14ac:dyDescent="0.2">
      <c r="A12" s="5"/>
      <c r="B12" s="225" t="s">
        <v>200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6"/>
      <c r="AY12" s="8">
        <v>130</v>
      </c>
      <c r="AZ12" s="4" t="s">
        <v>186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v>100000</v>
      </c>
      <c r="BF12" s="79">
        <v>0</v>
      </c>
      <c r="BG12" s="141">
        <v>2011</v>
      </c>
    </row>
    <row r="13" spans="1:59" ht="21" customHeight="1" x14ac:dyDescent="0.2">
      <c r="A13" s="5"/>
      <c r="B13" s="225" t="s">
        <v>201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6"/>
      <c r="AY13" s="8">
        <v>140</v>
      </c>
      <c r="AZ13" s="4" t="s">
        <v>183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25" t="s">
        <v>30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6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25" t="s">
        <v>209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6"/>
      <c r="AY15" s="8">
        <v>160</v>
      </c>
      <c r="AZ15" s="4" t="s">
        <v>197</v>
      </c>
      <c r="BA15" s="79">
        <f>BC15+BD15</f>
        <v>56110</v>
      </c>
      <c r="BB15" s="79" t="s">
        <v>28</v>
      </c>
      <c r="BC15" s="79">
        <v>56110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25" t="s">
        <v>203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6"/>
      <c r="AY16" s="8">
        <v>17</v>
      </c>
      <c r="AZ16" s="4" t="s">
        <v>184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25" t="s">
        <v>31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6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6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70" t="s">
        <v>34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1"/>
      <c r="AY19" s="11">
        <v>200</v>
      </c>
      <c r="AZ19" s="72" t="s">
        <v>28</v>
      </c>
      <c r="BA19" s="140">
        <f>BA20+BA26+BA29+BA34+BA36+BA37</f>
        <v>23105568</v>
      </c>
      <c r="BB19" s="140">
        <f>BB20+BB26+BB29+BB34+BB36+BB37</f>
        <v>21489458</v>
      </c>
      <c r="BC19" s="140">
        <f>BC20+BC26+BC29+BC34+BC36+BC37</f>
        <v>56110</v>
      </c>
      <c r="BD19" s="140">
        <f t="shared" ref="BD19:BE19" si="0">BD20+BD26+BD29+BD34+BD36+BD37</f>
        <v>0</v>
      </c>
      <c r="BE19" s="140">
        <f t="shared" si="0"/>
        <v>1560000</v>
      </c>
      <c r="BF19" s="140">
        <f>BF20+BF26+BF29+BF34+BF36+BF37</f>
        <v>0</v>
      </c>
      <c r="BG19" s="81"/>
    </row>
    <row r="20" spans="1:59" ht="36" customHeight="1" x14ac:dyDescent="0.2">
      <c r="A20" s="5"/>
      <c r="B20" s="211" t="s">
        <v>35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2"/>
      <c r="AY20" s="12">
        <v>210</v>
      </c>
      <c r="AZ20" s="13"/>
      <c r="BA20" s="82">
        <f>BA21+BA24+BA25</f>
        <v>18972610</v>
      </c>
      <c r="BB20" s="82">
        <f>BB21+BB24+BB25</f>
        <v>18044000</v>
      </c>
      <c r="BC20" s="82">
        <f t="shared" ref="BC20:BF20" si="1">BC21+BC24+BC25</f>
        <v>16610</v>
      </c>
      <c r="BD20" s="82">
        <f t="shared" si="1"/>
        <v>0</v>
      </c>
      <c r="BE20" s="82">
        <f t="shared" si="1"/>
        <v>912000</v>
      </c>
      <c r="BF20" s="82">
        <f t="shared" si="1"/>
        <v>0</v>
      </c>
    </row>
    <row r="21" spans="1:59" ht="35.25" customHeight="1" x14ac:dyDescent="0.2">
      <c r="A21" s="5"/>
      <c r="B21" s="211" t="s">
        <v>36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2"/>
      <c r="AY21" s="12">
        <v>211</v>
      </c>
      <c r="AZ21" s="13"/>
      <c r="BA21" s="82">
        <f>SUM(BA22:BA23)</f>
        <v>18824000</v>
      </c>
      <c r="BB21" s="82">
        <f t="shared" ref="BB21:BF21" si="2">SUM(BB22:BB23)</f>
        <v>17912000</v>
      </c>
      <c r="BC21" s="82">
        <f t="shared" si="2"/>
        <v>0</v>
      </c>
      <c r="BD21" s="82">
        <f t="shared" si="2"/>
        <v>0</v>
      </c>
      <c r="BE21" s="82">
        <f t="shared" si="2"/>
        <v>912000</v>
      </c>
      <c r="BF21" s="82">
        <f t="shared" si="2"/>
        <v>0</v>
      </c>
    </row>
    <row r="22" spans="1:59" ht="12.75" x14ac:dyDescent="0.2">
      <c r="A22" s="6"/>
      <c r="B22" s="7"/>
      <c r="C22" s="225" t="s">
        <v>204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6"/>
      <c r="AY22" s="8"/>
      <c r="AZ22" s="4" t="s">
        <v>15</v>
      </c>
      <c r="BA22" s="79">
        <f>BB22+BC22+BD22+BE22</f>
        <v>14528100</v>
      </c>
      <c r="BB22" s="79">
        <f>13798100+30000</f>
        <v>13828100</v>
      </c>
      <c r="BC22" s="79">
        <v>0</v>
      </c>
      <c r="BD22" s="79"/>
      <c r="BE22" s="79">
        <v>700000</v>
      </c>
      <c r="BF22" s="79"/>
      <c r="BG22" s="30" t="s">
        <v>179</v>
      </c>
    </row>
    <row r="23" spans="1:59" ht="50.25" customHeight="1" x14ac:dyDescent="0.2">
      <c r="A23" s="136"/>
      <c r="B23" s="152"/>
      <c r="C23" s="225" t="s">
        <v>205</v>
      </c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6"/>
      <c r="AY23" s="8"/>
      <c r="AZ23" s="4" t="s">
        <v>16</v>
      </c>
      <c r="BA23" s="79">
        <f>BB23+BC23+BD23+BE23</f>
        <v>4295900</v>
      </c>
      <c r="BB23" s="79">
        <v>4083900</v>
      </c>
      <c r="BC23" s="79">
        <v>0</v>
      </c>
      <c r="BD23" s="79"/>
      <c r="BE23" s="79">
        <v>212000</v>
      </c>
      <c r="BF23" s="79">
        <v>0</v>
      </c>
      <c r="BG23" s="30" t="s">
        <v>180</v>
      </c>
    </row>
    <row r="24" spans="1:59" ht="30" customHeight="1" x14ac:dyDescent="0.2">
      <c r="A24" s="136"/>
      <c r="B24" s="152"/>
      <c r="C24" s="225" t="s">
        <v>210</v>
      </c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6"/>
      <c r="AY24" s="8"/>
      <c r="AZ24" s="4" t="s">
        <v>14</v>
      </c>
      <c r="BA24" s="79">
        <f>BB24+BC24+BD24+BE24</f>
        <v>62210</v>
      </c>
      <c r="BB24" s="79">
        <v>45600</v>
      </c>
      <c r="BC24" s="79">
        <f>14000+2610</f>
        <v>16610</v>
      </c>
      <c r="BD24" s="79"/>
      <c r="BE24" s="79"/>
      <c r="BF24" s="79">
        <v>0</v>
      </c>
      <c r="BG24" s="9" t="s">
        <v>198</v>
      </c>
    </row>
    <row r="25" spans="1:59" ht="53.25" customHeight="1" x14ac:dyDescent="0.2">
      <c r="A25" s="136"/>
      <c r="B25" s="152"/>
      <c r="C25" s="225" t="s">
        <v>211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6"/>
      <c r="AY25" s="8"/>
      <c r="AZ25" s="4" t="s">
        <v>20</v>
      </c>
      <c r="BA25" s="79">
        <f>BB25+BC25+BD25+BE25</f>
        <v>86400</v>
      </c>
      <c r="BB25" s="79">
        <v>86400</v>
      </c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1" t="s">
        <v>37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25" t="s">
        <v>12</v>
      </c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6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52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6"/>
      <c r="AY28" s="8"/>
      <c r="AZ28" s="4" t="s">
        <v>193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194</v>
      </c>
    </row>
    <row r="29" spans="1:59" ht="21.95" customHeight="1" x14ac:dyDescent="0.2">
      <c r="A29" s="136"/>
      <c r="B29" s="152"/>
      <c r="C29" s="211" t="s">
        <v>38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2"/>
      <c r="AY29" s="12">
        <v>230</v>
      </c>
      <c r="AZ29" s="13"/>
      <c r="BA29" s="82">
        <f>BA31+BA32+BA33</f>
        <v>127907</v>
      </c>
      <c r="BB29" s="82">
        <f>BB31+BB32+BB33</f>
        <v>126907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1000</v>
      </c>
      <c r="BF29" s="82">
        <f>BF31+BF32+BF33</f>
        <v>0</v>
      </c>
    </row>
    <row r="30" spans="1:59" ht="10.5" customHeight="1" x14ac:dyDescent="0.2">
      <c r="A30" s="136"/>
      <c r="B30" s="152"/>
      <c r="C30" s="225" t="s">
        <v>12</v>
      </c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6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25" t="s">
        <v>207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6"/>
      <c r="AY31" s="8"/>
      <c r="AZ31" s="4" t="s">
        <v>21</v>
      </c>
      <c r="BA31" s="79">
        <f>BB31+BC31+BD31+BE31</f>
        <v>102456</v>
      </c>
      <c r="BB31" s="79">
        <v>102456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25" t="s">
        <v>212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6"/>
      <c r="AY32" s="8"/>
      <c r="AZ32" s="4" t="s">
        <v>18</v>
      </c>
      <c r="BA32" s="79">
        <f>BB32+BC32+BD32+BE32</f>
        <v>24451</v>
      </c>
      <c r="BB32" s="79">
        <f>1451+23000</f>
        <v>24451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52"/>
      <c r="C33" s="225" t="s">
        <v>213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6"/>
      <c r="AY33" s="8"/>
      <c r="AZ33" s="4" t="s">
        <v>19</v>
      </c>
      <c r="BA33" s="79">
        <f t="shared" ref="BA33" si="5">BB33+BC33+BD33+BE33</f>
        <v>1000</v>
      </c>
      <c r="BB33" s="79">
        <v>0</v>
      </c>
      <c r="BC33" s="79">
        <v>0</v>
      </c>
      <c r="BD33" s="79"/>
      <c r="BE33" s="79">
        <v>1000</v>
      </c>
      <c r="BF33" s="79">
        <v>0</v>
      </c>
    </row>
    <row r="34" spans="1:59" ht="23.25" hidden="1" customHeight="1" x14ac:dyDescent="0.2">
      <c r="A34" s="136"/>
      <c r="B34" s="152"/>
      <c r="C34" s="211" t="s">
        <v>39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2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52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6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52"/>
      <c r="C36" s="211" t="s">
        <v>40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2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1" t="s">
        <v>214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2"/>
      <c r="AY37" s="12">
        <v>260</v>
      </c>
      <c r="AZ37" s="13" t="s">
        <v>13</v>
      </c>
      <c r="BA37" s="82">
        <f>BB37+BC37+BD37+BE37</f>
        <v>4005051</v>
      </c>
      <c r="BB37" s="82">
        <v>3318551</v>
      </c>
      <c r="BC37" s="82">
        <f>30178+9322</f>
        <v>39500</v>
      </c>
      <c r="BD37" s="82"/>
      <c r="BE37" s="82">
        <f>50000+140000+30000+60000+40000+140000+50000+37000+100000</f>
        <v>647000</v>
      </c>
      <c r="BF37" s="82">
        <v>0</v>
      </c>
    </row>
    <row r="38" spans="1:59" ht="12.75" x14ac:dyDescent="0.2">
      <c r="A38" s="6"/>
      <c r="B38" s="7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6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52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6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25" t="s">
        <v>41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6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25" t="s">
        <v>42</v>
      </c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6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52"/>
      <c r="C42" s="225" t="s">
        <v>43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6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52"/>
      <c r="C43" s="225" t="s">
        <v>44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6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52"/>
      <c r="C44" s="225" t="s">
        <v>45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6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52"/>
      <c r="C45" s="225" t="s">
        <v>46</v>
      </c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6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10" t="s">
        <v>22</v>
      </c>
      <c r="C46" s="211" t="s">
        <v>11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2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5" t="s">
        <v>24</v>
      </c>
      <c r="C47" s="225" t="s">
        <v>11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6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15" t="s">
        <v>51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A48:AX48"/>
    <mergeCell ref="C43:AX43"/>
    <mergeCell ref="C44:AX44"/>
    <mergeCell ref="C45:AX45"/>
    <mergeCell ref="C41:AX41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zoomScale="55" zoomScaleNormal="55" workbookViewId="0">
      <selection activeCell="M18" sqref="M18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7" customWidth="1"/>
  </cols>
  <sheetData>
    <row r="1" spans="1:13" ht="18.75" x14ac:dyDescent="0.3">
      <c r="A1" s="208" t="s">
        <v>92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3" ht="18.75" x14ac:dyDescent="0.3">
      <c r="A2" s="208" t="s">
        <v>93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3" ht="18.75" x14ac:dyDescent="0.3">
      <c r="A3" s="208" t="s">
        <v>275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6" t="s">
        <v>94</v>
      </c>
      <c r="B6" s="276" t="s">
        <v>95</v>
      </c>
      <c r="C6" s="276" t="s">
        <v>96</v>
      </c>
      <c r="D6" s="276" t="s">
        <v>97</v>
      </c>
      <c r="E6" s="276"/>
      <c r="F6" s="276"/>
      <c r="G6" s="276"/>
      <c r="H6" s="276"/>
      <c r="I6" s="276"/>
      <c r="J6" s="276"/>
      <c r="K6" s="276"/>
      <c r="L6" s="276"/>
    </row>
    <row r="7" spans="1:13" x14ac:dyDescent="0.25">
      <c r="A7" s="276"/>
      <c r="B7" s="276"/>
      <c r="C7" s="276"/>
      <c r="D7" s="276" t="s">
        <v>98</v>
      </c>
      <c r="E7" s="276"/>
      <c r="F7" s="276"/>
      <c r="G7" s="276"/>
      <c r="H7" s="276"/>
      <c r="I7" s="276"/>
      <c r="J7" s="276"/>
      <c r="K7" s="276"/>
      <c r="L7" s="276"/>
    </row>
    <row r="8" spans="1:13" x14ac:dyDescent="0.25">
      <c r="A8" s="276"/>
      <c r="B8" s="276"/>
      <c r="C8" s="276"/>
      <c r="D8" s="276" t="s">
        <v>99</v>
      </c>
      <c r="E8" s="276"/>
      <c r="F8" s="276"/>
      <c r="G8" s="276" t="s">
        <v>4</v>
      </c>
      <c r="H8" s="276"/>
      <c r="I8" s="276"/>
      <c r="J8" s="276"/>
      <c r="K8" s="276"/>
      <c r="L8" s="276"/>
    </row>
    <row r="9" spans="1:13" ht="102" customHeight="1" x14ac:dyDescent="0.25">
      <c r="A9" s="276"/>
      <c r="B9" s="276"/>
      <c r="C9" s="276"/>
      <c r="D9" s="276"/>
      <c r="E9" s="276"/>
      <c r="F9" s="276"/>
      <c r="G9" s="277" t="s">
        <v>100</v>
      </c>
      <c r="H9" s="277"/>
      <c r="I9" s="277"/>
      <c r="J9" s="277" t="s">
        <v>101</v>
      </c>
      <c r="K9" s="277"/>
      <c r="L9" s="277"/>
    </row>
    <row r="10" spans="1:13" ht="118.5" customHeight="1" x14ac:dyDescent="0.25">
      <c r="A10" s="276"/>
      <c r="B10" s="276"/>
      <c r="C10" s="276"/>
      <c r="D10" s="99" t="s">
        <v>276</v>
      </c>
      <c r="E10" s="99" t="s">
        <v>277</v>
      </c>
      <c r="F10" s="99" t="s">
        <v>278</v>
      </c>
      <c r="G10" s="171" t="s">
        <v>276</v>
      </c>
      <c r="H10" s="171" t="s">
        <v>277</v>
      </c>
      <c r="I10" s="171" t="s">
        <v>278</v>
      </c>
      <c r="J10" s="171" t="s">
        <v>276</v>
      </c>
      <c r="K10" s="171" t="s">
        <v>277</v>
      </c>
      <c r="L10" s="171" t="s">
        <v>278</v>
      </c>
      <c r="M10" s="77" t="s">
        <v>141</v>
      </c>
    </row>
    <row r="11" spans="1:13" x14ac:dyDescent="0.25">
      <c r="A11" s="61">
        <v>1</v>
      </c>
      <c r="B11" s="61">
        <v>2</v>
      </c>
      <c r="C11" s="61">
        <v>3</v>
      </c>
      <c r="D11" s="99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102</v>
      </c>
      <c r="B12" s="62">
        <v>1</v>
      </c>
      <c r="C12" s="62" t="s">
        <v>103</v>
      </c>
      <c r="D12" s="83">
        <f>SUM(D14:D27)</f>
        <v>5592738.3899999997</v>
      </c>
      <c r="E12" s="83">
        <f>SUM(E14:E27)</f>
        <v>3946983</v>
      </c>
      <c r="F12" s="83">
        <f t="shared" ref="F12:L12" si="0">SUM(F14:F27)</f>
        <v>4005051</v>
      </c>
      <c r="G12" s="83">
        <f t="shared" si="0"/>
        <v>5592738.3899999997</v>
      </c>
      <c r="H12" s="83">
        <f>SUM(H14:H27)</f>
        <v>3946983</v>
      </c>
      <c r="I12" s="83">
        <f t="shared" ref="I12" si="1">SUM(I14:I27)</f>
        <v>4005051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78"/>
    </row>
    <row r="13" spans="1:13" ht="54.75" customHeight="1" x14ac:dyDescent="0.25">
      <c r="A13" s="55" t="s">
        <v>104</v>
      </c>
      <c r="B13" s="62">
        <v>1001</v>
      </c>
      <c r="C13" s="62" t="s">
        <v>103</v>
      </c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s="30" customFormat="1" ht="31.5" customHeight="1" x14ac:dyDescent="0.25">
      <c r="A14" s="55" t="s">
        <v>133</v>
      </c>
      <c r="B14" s="62"/>
      <c r="C14" s="62"/>
      <c r="D14" s="83">
        <f>'3'!BK107</f>
        <v>93145.13</v>
      </c>
      <c r="E14" s="83">
        <f>44400+50000</f>
        <v>94400</v>
      </c>
      <c r="F14" s="83">
        <f>44400+50000</f>
        <v>94400</v>
      </c>
      <c r="G14" s="83">
        <f>D14</f>
        <v>93145.13</v>
      </c>
      <c r="H14" s="83">
        <f>E14</f>
        <v>94400</v>
      </c>
      <c r="I14" s="83">
        <f>F14</f>
        <v>94400</v>
      </c>
      <c r="J14" s="83">
        <v>0</v>
      </c>
      <c r="K14" s="83">
        <v>0</v>
      </c>
      <c r="L14" s="83">
        <v>0</v>
      </c>
      <c r="M14" s="84"/>
    </row>
    <row r="15" spans="1:13" s="30" customFormat="1" ht="27.75" customHeight="1" x14ac:dyDescent="0.25">
      <c r="A15" s="55" t="s">
        <v>140</v>
      </c>
      <c r="B15" s="62"/>
      <c r="C15" s="62"/>
      <c r="D15" s="83">
        <f>'3'!BK112</f>
        <v>4750</v>
      </c>
      <c r="E15" s="83">
        <v>0</v>
      </c>
      <c r="F15" s="83">
        <v>0</v>
      </c>
      <c r="G15" s="83">
        <f t="shared" ref="G15:G26" si="2">D15</f>
        <v>4750</v>
      </c>
      <c r="H15" s="83">
        <f t="shared" ref="H15:H26" si="3">E15</f>
        <v>0</v>
      </c>
      <c r="I15" s="83">
        <f t="shared" ref="I15:I26" si="4">F15</f>
        <v>0</v>
      </c>
      <c r="J15" s="83">
        <v>0</v>
      </c>
      <c r="K15" s="83">
        <v>0</v>
      </c>
      <c r="L15" s="83">
        <v>0</v>
      </c>
      <c r="M15" s="84"/>
    </row>
    <row r="16" spans="1:13" s="30" customFormat="1" ht="27.75" customHeight="1" x14ac:dyDescent="0.25">
      <c r="A16" s="55" t="s">
        <v>134</v>
      </c>
      <c r="B16" s="62"/>
      <c r="C16" s="62"/>
      <c r="D16" s="83">
        <f>'3'!BK109</f>
        <v>2271894.17</v>
      </c>
      <c r="E16" s="83">
        <f>2000477+240000</f>
        <v>2240477</v>
      </c>
      <c r="F16" s="83">
        <f>46726+1333616+678203+240000</f>
        <v>2298545</v>
      </c>
      <c r="G16" s="83">
        <f t="shared" si="2"/>
        <v>2271894.17</v>
      </c>
      <c r="H16" s="83">
        <f t="shared" si="3"/>
        <v>2240477</v>
      </c>
      <c r="I16" s="83">
        <f t="shared" si="4"/>
        <v>2298545</v>
      </c>
      <c r="J16" s="83">
        <v>0</v>
      </c>
      <c r="K16" s="83">
        <v>0</v>
      </c>
      <c r="L16" s="83">
        <v>0</v>
      </c>
      <c r="M16" s="84"/>
    </row>
    <row r="17" spans="1:13" s="30" customFormat="1" ht="39.75" customHeight="1" x14ac:dyDescent="0.25">
      <c r="A17" s="55" t="s">
        <v>135</v>
      </c>
      <c r="B17" s="62"/>
      <c r="C17" s="62"/>
      <c r="D17" s="83">
        <f>'3'!BK110</f>
        <v>1774001.69</v>
      </c>
      <c r="E17" s="83">
        <f>438793+60000+30000</f>
        <v>528793</v>
      </c>
      <c r="F17" s="83">
        <f>438793+60000+30000</f>
        <v>528793</v>
      </c>
      <c r="G17" s="83">
        <f t="shared" si="2"/>
        <v>1774001.69</v>
      </c>
      <c r="H17" s="83">
        <f t="shared" si="3"/>
        <v>528793</v>
      </c>
      <c r="I17" s="83">
        <f t="shared" si="4"/>
        <v>528793</v>
      </c>
      <c r="J17" s="83">
        <v>0</v>
      </c>
      <c r="K17" s="83">
        <v>0</v>
      </c>
      <c r="L17" s="83">
        <v>0</v>
      </c>
      <c r="M17" s="84"/>
    </row>
    <row r="18" spans="1:13" s="30" customFormat="1" ht="27.75" customHeight="1" x14ac:dyDescent="0.25">
      <c r="A18" s="55" t="s">
        <v>136</v>
      </c>
      <c r="B18" s="62"/>
      <c r="C18" s="62"/>
      <c r="D18" s="83">
        <f>'3'!BK111</f>
        <v>738906.68</v>
      </c>
      <c r="E18" s="83">
        <f>40000+662858</f>
        <v>702858</v>
      </c>
      <c r="F18" s="83">
        <f>40000+662858</f>
        <v>702858</v>
      </c>
      <c r="G18" s="83">
        <f t="shared" si="2"/>
        <v>738906.68</v>
      </c>
      <c r="H18" s="83">
        <f t="shared" si="3"/>
        <v>702858</v>
      </c>
      <c r="I18" s="83">
        <f t="shared" si="4"/>
        <v>702858</v>
      </c>
      <c r="J18" s="83">
        <v>0</v>
      </c>
      <c r="K18" s="83">
        <v>0</v>
      </c>
      <c r="L18" s="83">
        <v>0</v>
      </c>
      <c r="M18" s="84"/>
    </row>
    <row r="19" spans="1:13" s="30" customFormat="1" ht="24.75" customHeight="1" x14ac:dyDescent="0.25">
      <c r="A19" s="55" t="s">
        <v>235</v>
      </c>
      <c r="B19" s="62"/>
      <c r="C19" s="62"/>
      <c r="D19" s="83">
        <f>'3'!BK119</f>
        <v>0</v>
      </c>
      <c r="E19" s="83">
        <v>0</v>
      </c>
      <c r="F19" s="83">
        <v>0</v>
      </c>
      <c r="G19" s="83">
        <f t="shared" si="2"/>
        <v>0</v>
      </c>
      <c r="H19" s="83">
        <f t="shared" si="3"/>
        <v>0</v>
      </c>
      <c r="I19" s="83">
        <f t="shared" si="4"/>
        <v>0</v>
      </c>
      <c r="J19" s="83">
        <v>0</v>
      </c>
      <c r="K19" s="83">
        <v>0</v>
      </c>
      <c r="L19" s="83">
        <v>0</v>
      </c>
      <c r="M19" s="84"/>
    </row>
    <row r="20" spans="1:13" s="30" customFormat="1" ht="24.75" customHeight="1" x14ac:dyDescent="0.25">
      <c r="A20" s="55" t="s">
        <v>137</v>
      </c>
      <c r="B20" s="62"/>
      <c r="C20" s="62"/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4"/>
    </row>
    <row r="21" spans="1:13" s="30" customFormat="1" ht="34.5" customHeight="1" x14ac:dyDescent="0.25">
      <c r="A21" s="55" t="s">
        <v>138</v>
      </c>
      <c r="B21" s="62"/>
      <c r="C21" s="62"/>
      <c r="D21" s="83">
        <f>'3'!BK113</f>
        <v>177160</v>
      </c>
      <c r="E21" s="83">
        <v>140000</v>
      </c>
      <c r="F21" s="83">
        <v>140000</v>
      </c>
      <c r="G21" s="83">
        <f t="shared" si="2"/>
        <v>177160</v>
      </c>
      <c r="H21" s="83">
        <f t="shared" si="3"/>
        <v>140000</v>
      </c>
      <c r="I21" s="83">
        <f t="shared" si="4"/>
        <v>140000</v>
      </c>
      <c r="J21" s="83">
        <v>0</v>
      </c>
      <c r="K21" s="83">
        <v>0</v>
      </c>
      <c r="L21" s="83">
        <v>0</v>
      </c>
      <c r="M21" s="84"/>
    </row>
    <row r="22" spans="1:13" s="30" customFormat="1" ht="43.5" customHeight="1" x14ac:dyDescent="0.25">
      <c r="A22" s="55" t="s">
        <v>216</v>
      </c>
      <c r="B22" s="62"/>
      <c r="C22" s="62"/>
      <c r="D22" s="83">
        <f>'3'!BK114</f>
        <v>124326.13</v>
      </c>
      <c r="E22" s="83">
        <f>57924+50000</f>
        <v>107924</v>
      </c>
      <c r="F22" s="83">
        <f>57924+50000</f>
        <v>107924</v>
      </c>
      <c r="G22" s="83">
        <f t="shared" si="2"/>
        <v>124326.13</v>
      </c>
      <c r="H22" s="83">
        <f t="shared" si="3"/>
        <v>107924</v>
      </c>
      <c r="I22" s="83">
        <f t="shared" si="4"/>
        <v>107924</v>
      </c>
      <c r="J22" s="83">
        <v>0</v>
      </c>
      <c r="K22" s="83">
        <v>0</v>
      </c>
      <c r="L22" s="83">
        <v>0</v>
      </c>
      <c r="M22" s="84"/>
    </row>
    <row r="23" spans="1:13" s="30" customFormat="1" ht="43.5" customHeight="1" x14ac:dyDescent="0.25">
      <c r="A23" s="55" t="s">
        <v>218</v>
      </c>
      <c r="B23" s="62"/>
      <c r="C23" s="62"/>
      <c r="D23" s="83">
        <f>'3'!BK115</f>
        <v>166040.32999999999</v>
      </c>
      <c r="E23" s="83">
        <v>0</v>
      </c>
      <c r="F23" s="83">
        <v>0</v>
      </c>
      <c r="G23" s="83">
        <f t="shared" si="2"/>
        <v>166040.32999999999</v>
      </c>
      <c r="H23" s="83">
        <f t="shared" si="3"/>
        <v>0</v>
      </c>
      <c r="I23" s="83">
        <f t="shared" si="4"/>
        <v>0</v>
      </c>
      <c r="J23" s="83">
        <v>0</v>
      </c>
      <c r="K23" s="83">
        <v>0</v>
      </c>
      <c r="L23" s="83">
        <v>0</v>
      </c>
      <c r="M23" s="84"/>
    </row>
    <row r="24" spans="1:13" s="30" customFormat="1" ht="39.75" customHeight="1" x14ac:dyDescent="0.25">
      <c r="A24" s="55" t="s">
        <v>215</v>
      </c>
      <c r="B24" s="55"/>
      <c r="C24" s="55"/>
      <c r="D24" s="83">
        <f>'3'!BK116</f>
        <v>1163</v>
      </c>
      <c r="E24" s="83">
        <v>4500</v>
      </c>
      <c r="F24" s="83">
        <v>4500</v>
      </c>
      <c r="G24" s="83">
        <f t="shared" si="2"/>
        <v>1163</v>
      </c>
      <c r="H24" s="83">
        <f t="shared" si="3"/>
        <v>4500</v>
      </c>
      <c r="I24" s="83">
        <f t="shared" si="4"/>
        <v>4500</v>
      </c>
      <c r="J24" s="83">
        <v>0</v>
      </c>
      <c r="K24" s="83">
        <v>0</v>
      </c>
      <c r="L24" s="83">
        <v>0</v>
      </c>
      <c r="M24" s="84"/>
    </row>
    <row r="25" spans="1:13" ht="57" customHeight="1" x14ac:dyDescent="0.25">
      <c r="A25" s="55" t="s">
        <v>208</v>
      </c>
      <c r="B25" s="55"/>
      <c r="C25" s="55"/>
      <c r="D25" s="83">
        <f>'3'!BK117</f>
        <v>176551.26</v>
      </c>
      <c r="E25" s="83">
        <f>51531+37000</f>
        <v>88531</v>
      </c>
      <c r="F25" s="83">
        <f>51531+37000</f>
        <v>88531</v>
      </c>
      <c r="G25" s="83">
        <f t="shared" si="2"/>
        <v>176551.26</v>
      </c>
      <c r="H25" s="83">
        <f t="shared" si="3"/>
        <v>88531</v>
      </c>
      <c r="I25" s="83">
        <f t="shared" si="4"/>
        <v>88531</v>
      </c>
      <c r="J25" s="83">
        <v>0</v>
      </c>
      <c r="K25" s="83">
        <v>0</v>
      </c>
      <c r="L25" s="83">
        <v>0</v>
      </c>
      <c r="M25" s="84"/>
    </row>
    <row r="26" spans="1:13" s="30" customFormat="1" ht="57" customHeight="1" x14ac:dyDescent="0.25">
      <c r="A26" s="55" t="s">
        <v>226</v>
      </c>
      <c r="B26" s="55"/>
      <c r="C26" s="55"/>
      <c r="D26" s="83">
        <f>'3'!BK108</f>
        <v>64800</v>
      </c>
      <c r="E26" s="83">
        <f>9322+30178</f>
        <v>39500</v>
      </c>
      <c r="F26" s="83">
        <f>9322+30178</f>
        <v>39500</v>
      </c>
      <c r="G26" s="83">
        <f t="shared" si="2"/>
        <v>64800</v>
      </c>
      <c r="H26" s="83">
        <f t="shared" si="3"/>
        <v>39500</v>
      </c>
      <c r="I26" s="83">
        <f t="shared" si="4"/>
        <v>39500</v>
      </c>
      <c r="J26" s="83">
        <v>0</v>
      </c>
      <c r="K26" s="83">
        <v>0</v>
      </c>
      <c r="L26" s="83">
        <v>0</v>
      </c>
      <c r="M26" s="84"/>
    </row>
    <row r="27" spans="1:13" s="30" customFormat="1" ht="87" customHeight="1" x14ac:dyDescent="0.25">
      <c r="A27" s="55" t="s">
        <v>217</v>
      </c>
      <c r="B27" s="55"/>
      <c r="C27" s="55"/>
      <c r="D27" s="83">
        <f>'3'!BK118</f>
        <v>0</v>
      </c>
      <c r="E27" s="83">
        <v>0</v>
      </c>
      <c r="F27" s="83">
        <v>0</v>
      </c>
      <c r="G27" s="83">
        <f t="shared" ref="G27" si="5">D27</f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4"/>
    </row>
    <row r="28" spans="1:13" ht="33.75" customHeight="1" x14ac:dyDescent="0.25">
      <c r="A28" s="55" t="s">
        <v>105</v>
      </c>
      <c r="B28" s="62">
        <v>2001</v>
      </c>
      <c r="C28" s="55"/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</row>
    <row r="29" spans="1:13" x14ac:dyDescent="0.25">
      <c r="A29" s="55"/>
      <c r="B29" s="55"/>
      <c r="C29" s="55"/>
      <c r="D29" s="83"/>
      <c r="E29" s="83"/>
      <c r="F29" s="83"/>
      <c r="G29" s="83"/>
      <c r="H29" s="83"/>
      <c r="I29" s="83"/>
      <c r="J29" s="83"/>
      <c r="K29" s="83"/>
      <c r="L29" s="83"/>
    </row>
    <row r="30" spans="1:13" ht="18.75" customHeight="1" x14ac:dyDescent="0.3">
      <c r="A30" s="60"/>
      <c r="D30" s="85">
        <f>'3'!BA68-'4'!D12</f>
        <v>0</v>
      </c>
      <c r="E30" s="87">
        <f>'3 (2)'!BA37-'4'!E12</f>
        <v>0</v>
      </c>
      <c r="F30" s="87">
        <f>'3 (3)'!BA37-'4'!F12</f>
        <v>0</v>
      </c>
    </row>
    <row r="31" spans="1:13" x14ac:dyDescent="0.25">
      <c r="E31" s="86"/>
      <c r="F31" s="86"/>
    </row>
    <row r="32" spans="1:13" x14ac:dyDescent="0.25">
      <c r="E32" s="86"/>
      <c r="F32" s="86"/>
    </row>
    <row r="33" spans="5:6" x14ac:dyDescent="0.25">
      <c r="E33" s="86"/>
      <c r="F33" s="86"/>
    </row>
    <row r="34" spans="5:6" x14ac:dyDescent="0.25">
      <c r="E34" s="86"/>
      <c r="F34" s="86"/>
    </row>
    <row r="35" spans="5:6" x14ac:dyDescent="0.25">
      <c r="E35" s="86"/>
      <c r="F35" s="86"/>
    </row>
    <row r="36" spans="5:6" x14ac:dyDescent="0.25">
      <c r="E36" s="86"/>
      <c r="F36" s="86"/>
    </row>
    <row r="37" spans="5:6" x14ac:dyDescent="0.25">
      <c r="E37" s="86"/>
      <c r="F37" s="86"/>
    </row>
    <row r="38" spans="5:6" x14ac:dyDescent="0.25">
      <c r="E38" s="86"/>
      <c r="F38" s="86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zoomScale="73" zoomScaleNormal="100" zoomScaleSheetLayoutView="73" workbookViewId="0">
      <selection activeCell="E24" sqref="E24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8" t="s">
        <v>106</v>
      </c>
      <c r="B1" s="208"/>
      <c r="C1" s="208"/>
    </row>
    <row r="2" spans="1:4" ht="18.75" x14ac:dyDescent="0.3">
      <c r="A2" s="208" t="s">
        <v>107</v>
      </c>
      <c r="B2" s="208"/>
      <c r="C2" s="208"/>
      <c r="D2" s="9" t="s">
        <v>142</v>
      </c>
    </row>
    <row r="3" spans="1:4" ht="18.75" x14ac:dyDescent="0.3">
      <c r="A3" s="208" t="s">
        <v>279</v>
      </c>
      <c r="B3" s="208"/>
      <c r="C3" s="208"/>
    </row>
    <row r="4" spans="1:4" ht="18.75" x14ac:dyDescent="0.3">
      <c r="A4" s="208" t="s">
        <v>108</v>
      </c>
      <c r="B4" s="208"/>
      <c r="C4" s="208"/>
    </row>
    <row r="5" spans="1:4" ht="18.75" x14ac:dyDescent="0.3">
      <c r="A5" s="60"/>
    </row>
    <row r="6" spans="1:4" ht="15.75" x14ac:dyDescent="0.2">
      <c r="A6" s="276" t="s">
        <v>0</v>
      </c>
      <c r="B6" s="276" t="s">
        <v>1</v>
      </c>
      <c r="C6" s="61" t="s">
        <v>109</v>
      </c>
    </row>
    <row r="7" spans="1:4" ht="50.25" customHeight="1" x14ac:dyDescent="0.2">
      <c r="A7" s="276"/>
      <c r="B7" s="276"/>
      <c r="C7" s="61" t="s">
        <v>110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4">
        <v>0</v>
      </c>
    </row>
    <row r="10" spans="1:4" ht="27" customHeight="1" x14ac:dyDescent="0.2">
      <c r="A10" s="55" t="s">
        <v>24</v>
      </c>
      <c r="B10" s="61">
        <v>20</v>
      </c>
      <c r="C10" s="74">
        <v>0</v>
      </c>
    </row>
    <row r="11" spans="1:4" ht="27" customHeight="1" x14ac:dyDescent="0.2">
      <c r="A11" s="55" t="s">
        <v>111</v>
      </c>
      <c r="B11" s="61">
        <v>30</v>
      </c>
      <c r="C11" s="74">
        <v>0</v>
      </c>
    </row>
    <row r="12" spans="1:4" ht="27" customHeight="1" x14ac:dyDescent="0.2">
      <c r="A12" s="55"/>
      <c r="B12" s="55"/>
      <c r="C12" s="74"/>
    </row>
    <row r="13" spans="1:4" ht="27" customHeight="1" x14ac:dyDescent="0.2">
      <c r="A13" s="55" t="s">
        <v>112</v>
      </c>
      <c r="B13" s="61">
        <v>40</v>
      </c>
      <c r="C13" s="74">
        <v>0</v>
      </c>
    </row>
    <row r="14" spans="1:4" ht="15.75" x14ac:dyDescent="0.2">
      <c r="A14" s="55"/>
      <c r="B14" s="55"/>
      <c r="C14" s="74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8" t="s">
        <v>113</v>
      </c>
      <c r="B18" s="208"/>
      <c r="C18" s="208"/>
    </row>
    <row r="19" spans="1:3" ht="12.75" customHeight="1" x14ac:dyDescent="0.3">
      <c r="A19" s="52"/>
    </row>
    <row r="20" spans="1:3" ht="30.75" customHeight="1" x14ac:dyDescent="0.2">
      <c r="A20" s="276" t="s">
        <v>0</v>
      </c>
      <c r="B20" s="276" t="s">
        <v>1</v>
      </c>
      <c r="C20" s="61" t="s">
        <v>114</v>
      </c>
    </row>
    <row r="21" spans="1:3" ht="15.75" x14ac:dyDescent="0.2">
      <c r="A21" s="276"/>
      <c r="B21" s="276"/>
      <c r="C21" s="61" t="s">
        <v>115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116</v>
      </c>
      <c r="B23" s="61">
        <v>10</v>
      </c>
      <c r="C23" s="74">
        <v>0</v>
      </c>
    </row>
    <row r="24" spans="1:3" ht="90" customHeight="1" x14ac:dyDescent="0.2">
      <c r="A24" s="70" t="s">
        <v>117</v>
      </c>
      <c r="B24" s="61">
        <v>20</v>
      </c>
      <c r="C24" s="74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119</v>
      </c>
    </row>
    <row r="27" spans="1:3" s="65" customFormat="1" ht="19.5" customHeight="1" x14ac:dyDescent="0.2">
      <c r="A27" s="67" t="s">
        <v>118</v>
      </c>
    </row>
    <row r="28" spans="1:3" s="65" customFormat="1" ht="15.75" x14ac:dyDescent="0.2">
      <c r="A28" s="66" t="s">
        <v>120</v>
      </c>
      <c r="B28" s="76" t="s">
        <v>129</v>
      </c>
      <c r="C28" s="76" t="s">
        <v>129</v>
      </c>
    </row>
    <row r="29" spans="1:3" s="65" customFormat="1" ht="21" customHeight="1" x14ac:dyDescent="0.2">
      <c r="A29" s="66"/>
      <c r="B29" s="66" t="s">
        <v>121</v>
      </c>
      <c r="C29" s="66" t="s">
        <v>122</v>
      </c>
    </row>
    <row r="30" spans="1:3" s="65" customFormat="1" ht="10.5" customHeight="1" x14ac:dyDescent="0.2">
      <c r="A30" s="66"/>
    </row>
    <row r="31" spans="1:3" ht="15.75" x14ac:dyDescent="0.25">
      <c r="A31" s="64" t="s">
        <v>174</v>
      </c>
      <c r="B31" s="69"/>
      <c r="C31" s="75" t="s">
        <v>175</v>
      </c>
    </row>
    <row r="32" spans="1:3" ht="16.5" customHeight="1" x14ac:dyDescent="0.25">
      <c r="A32" s="64"/>
      <c r="B32" s="66" t="s">
        <v>121</v>
      </c>
      <c r="C32" s="66" t="s">
        <v>122</v>
      </c>
    </row>
    <row r="33" spans="1:3" ht="15.75" x14ac:dyDescent="0.25">
      <c r="A33" s="64"/>
    </row>
    <row r="34" spans="1:3" ht="15.75" x14ac:dyDescent="0.25">
      <c r="A34" s="64" t="s">
        <v>123</v>
      </c>
      <c r="B34" s="69"/>
      <c r="C34" s="75" t="s">
        <v>175</v>
      </c>
    </row>
    <row r="35" spans="1:3" ht="18.75" customHeight="1" x14ac:dyDescent="0.25">
      <c r="A35" s="64" t="s">
        <v>178</v>
      </c>
      <c r="B35" s="66" t="s">
        <v>121</v>
      </c>
      <c r="C35" s="66" t="s">
        <v>122</v>
      </c>
    </row>
    <row r="36" spans="1:3" ht="15.75" x14ac:dyDescent="0.25">
      <c r="A36" s="64"/>
    </row>
    <row r="37" spans="1:3" ht="26.25" customHeight="1" x14ac:dyDescent="0.25">
      <c r="A37" s="64" t="s">
        <v>167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2020-03-16T12:18:57Z</cp:lastPrinted>
  <dcterms:created xsi:type="dcterms:W3CDTF">2016-04-19T05:14:21Z</dcterms:created>
  <dcterms:modified xsi:type="dcterms:W3CDTF">2020-03-19T04:18:11Z</dcterms:modified>
</cp:coreProperties>
</file>