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90" windowWidth="14940" windowHeight="9030" activeTab="5"/>
  </bookViews>
  <sheets>
    <sheet name="Тит" sheetId="3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свод по квр 244" sheetId="11" r:id="rId8"/>
  </sheets>
  <definedNames>
    <definedName name="IS_DOCUMENT" localSheetId="2">'3'!$A$47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'3'!$A$1:$BF$47</definedName>
    <definedName name="_xlnm.Print_Area" localSheetId="3">'3 (2)'!$A$1:$BF$47</definedName>
    <definedName name="_xlnm.Print_Area" localSheetId="4">'3 (3)'!$A$1:$BF$47</definedName>
    <definedName name="_xlnm.Print_Area" localSheetId="5">'4'!$A$1:$L$23</definedName>
    <definedName name="_xlnm.Print_Area" localSheetId="6">'5'!$A$1:$C$37</definedName>
    <definedName name="_xlnm.Print_Area" localSheetId="7">'свод по квр 244'!$A$1:$AC$17</definedName>
    <definedName name="_xlnm.Print_Area" localSheetId="0">Тит!$A$1:$DY$39</definedName>
  </definedNames>
  <calcPr calcId="125725" refMode="R1C1"/>
</workbook>
</file>

<file path=xl/calcChain.xml><?xml version="1.0" encoding="utf-8"?>
<calcChain xmlns="http://schemas.openxmlformats.org/spreadsheetml/2006/main">
  <c r="G20" i="5"/>
  <c r="G16"/>
  <c r="G14"/>
  <c r="F12"/>
  <c r="E12"/>
  <c r="X8" i="11"/>
  <c r="X14" s="1"/>
  <c r="Y14"/>
  <c r="Z14"/>
  <c r="BE37" i="8"/>
  <c r="BE37" i="7"/>
  <c r="F15" i="11"/>
  <c r="F24" i="5"/>
  <c r="E24"/>
  <c r="O8" i="11"/>
  <c r="V15"/>
  <c r="AC14"/>
  <c r="AB14"/>
  <c r="AA14"/>
  <c r="W14"/>
  <c r="W15" s="1"/>
  <c r="V10"/>
  <c r="V8"/>
  <c r="V14" s="1"/>
  <c r="M15"/>
  <c r="X15" l="1"/>
  <c r="M10"/>
  <c r="M8"/>
  <c r="M14" s="1"/>
  <c r="U14"/>
  <c r="U13"/>
  <c r="U12"/>
  <c r="U11"/>
  <c r="U10"/>
  <c r="U9"/>
  <c r="U8"/>
  <c r="U7"/>
  <c r="U6"/>
  <c r="T14"/>
  <c r="S14"/>
  <c r="Q14"/>
  <c r="P14"/>
  <c r="N14"/>
  <c r="N15" s="1"/>
  <c r="L13"/>
  <c r="L12"/>
  <c r="L11"/>
  <c r="L10"/>
  <c r="L9"/>
  <c r="R14"/>
  <c r="O14"/>
  <c r="L8"/>
  <c r="L7"/>
  <c r="L6"/>
  <c r="E23"/>
  <c r="E22"/>
  <c r="E21"/>
  <c r="C21"/>
  <c r="C23"/>
  <c r="C22"/>
  <c r="C20"/>
  <c r="D13"/>
  <c r="C13" s="1"/>
  <c r="J14"/>
  <c r="I8"/>
  <c r="I14" s="1"/>
  <c r="F8"/>
  <c r="E14"/>
  <c r="E15" s="1"/>
  <c r="F14"/>
  <c r="G14"/>
  <c r="H14"/>
  <c r="K14"/>
  <c r="D12"/>
  <c r="D11"/>
  <c r="C11" s="1"/>
  <c r="D10"/>
  <c r="D8"/>
  <c r="D14" s="1"/>
  <c r="D15" s="1"/>
  <c r="C7"/>
  <c r="C8"/>
  <c r="C9"/>
  <c r="C10"/>
  <c r="C12"/>
  <c r="C6"/>
  <c r="D16" i="5"/>
  <c r="D24"/>
  <c r="D20"/>
  <c r="D14"/>
  <c r="O15" i="11" l="1"/>
  <c r="L14"/>
  <c r="C24"/>
  <c r="E24"/>
  <c r="C14"/>
  <c r="C24" i="4"/>
  <c r="C20"/>
  <c r="C19"/>
  <c r="C9"/>
  <c r="C16"/>
  <c r="C12"/>
  <c r="C10"/>
  <c r="C7"/>
  <c r="C6"/>
  <c r="BG19" i="2"/>
  <c r="BE37"/>
  <c r="BB24" i="8"/>
  <c r="BB32"/>
  <c r="I12" i="5"/>
  <c r="BB37" i="8"/>
  <c r="BB37" i="7"/>
  <c r="BB32"/>
  <c r="BB24"/>
  <c r="H12" i="5"/>
  <c r="G12"/>
  <c r="BE24" i="2"/>
  <c r="BB37"/>
  <c r="BA37" s="1"/>
  <c r="M12" i="5" s="1"/>
  <c r="BC37" i="2"/>
  <c r="BC24"/>
  <c r="BB32"/>
  <c r="BB23"/>
  <c r="BB24"/>
  <c r="BB22"/>
  <c r="BE46"/>
  <c r="BE16" i="8"/>
  <c r="BE12"/>
  <c r="BE16" i="7"/>
  <c r="BE12"/>
  <c r="BE16" i="2"/>
  <c r="BB12"/>
  <c r="BE12"/>
  <c r="C21" i="4"/>
  <c r="C14"/>
  <c r="C13" s="1"/>
  <c r="BA47" i="8" l="1"/>
  <c r="BA46"/>
  <c r="BA45"/>
  <c r="BA44"/>
  <c r="BA43"/>
  <c r="BA42"/>
  <c r="BA41"/>
  <c r="BA40"/>
  <c r="BA37"/>
  <c r="M21" i="5" s="1"/>
  <c r="BA36" i="8"/>
  <c r="BA33"/>
  <c r="BA32"/>
  <c r="BA31"/>
  <c r="BF29"/>
  <c r="BE29"/>
  <c r="BD29"/>
  <c r="BC29"/>
  <c r="BB29"/>
  <c r="BA28"/>
  <c r="BF26"/>
  <c r="BE26"/>
  <c r="BD26"/>
  <c r="BC26"/>
  <c r="BB26"/>
  <c r="BA26"/>
  <c r="BA25"/>
  <c r="BA24"/>
  <c r="BA23"/>
  <c r="BA22"/>
  <c r="BF21"/>
  <c r="BE21"/>
  <c r="BD21"/>
  <c r="BC21"/>
  <c r="BB21"/>
  <c r="BB20" s="1"/>
  <c r="BF20"/>
  <c r="BE20"/>
  <c r="BD20"/>
  <c r="BC20"/>
  <c r="BF19"/>
  <c r="BA17"/>
  <c r="BA16"/>
  <c r="BA15"/>
  <c r="BA14"/>
  <c r="BA13"/>
  <c r="BA12"/>
  <c r="BA10"/>
  <c r="BF9"/>
  <c r="BE9"/>
  <c r="BD9"/>
  <c r="BC9"/>
  <c r="BB9"/>
  <c r="BA47" i="7"/>
  <c r="BA46"/>
  <c r="BA45"/>
  <c r="BA44"/>
  <c r="BA43"/>
  <c r="BA42"/>
  <c r="BA41"/>
  <c r="BA40"/>
  <c r="BA37"/>
  <c r="M13" i="5" s="1"/>
  <c r="BA36" i="7"/>
  <c r="BA33"/>
  <c r="BA32"/>
  <c r="BA31"/>
  <c r="BF29"/>
  <c r="BE29"/>
  <c r="BD29"/>
  <c r="BC29"/>
  <c r="BB29"/>
  <c r="BA28"/>
  <c r="BF26"/>
  <c r="BE26"/>
  <c r="BD26"/>
  <c r="BC26"/>
  <c r="BB26"/>
  <c r="BA26"/>
  <c r="BA25"/>
  <c r="BA24"/>
  <c r="BA23"/>
  <c r="BA22"/>
  <c r="BF21"/>
  <c r="BE21"/>
  <c r="BE20" s="1"/>
  <c r="BD21"/>
  <c r="BC21"/>
  <c r="BC20" s="1"/>
  <c r="BB21"/>
  <c r="BF20"/>
  <c r="BD20"/>
  <c r="BB20"/>
  <c r="BB19" s="1"/>
  <c r="BD19"/>
  <c r="BA17"/>
  <c r="BA16"/>
  <c r="BA15"/>
  <c r="BA14"/>
  <c r="BA13"/>
  <c r="BA12"/>
  <c r="BA10"/>
  <c r="BF9"/>
  <c r="BE9"/>
  <c r="BD9"/>
  <c r="BC9"/>
  <c r="BB9"/>
  <c r="BA32" i="2"/>
  <c r="BE21"/>
  <c r="BE20" s="1"/>
  <c r="BA24"/>
  <c r="BA23"/>
  <c r="BA16"/>
  <c r="BE9"/>
  <c r="BF29"/>
  <c r="BA46"/>
  <c r="BA31"/>
  <c r="BA33"/>
  <c r="BA28"/>
  <c r="BA25"/>
  <c r="BA22"/>
  <c r="BA36"/>
  <c r="BB29"/>
  <c r="BC29"/>
  <c r="BD29"/>
  <c r="BE29"/>
  <c r="BB26"/>
  <c r="BB19" s="1"/>
  <c r="BC26"/>
  <c r="BD26"/>
  <c r="BE26"/>
  <c r="BF26"/>
  <c r="BB21"/>
  <c r="BB20" s="1"/>
  <c r="BC21"/>
  <c r="BC20" s="1"/>
  <c r="BD21"/>
  <c r="BF21"/>
  <c r="BF20" s="1"/>
  <c r="BD20"/>
  <c r="BA26"/>
  <c r="BA40"/>
  <c r="BA41"/>
  <c r="BA42"/>
  <c r="BA43"/>
  <c r="BA44"/>
  <c r="BA45"/>
  <c r="BA47"/>
  <c r="BF9"/>
  <c r="BD9"/>
  <c r="BC9"/>
  <c r="BB9"/>
  <c r="BA17"/>
  <c r="BA15"/>
  <c r="BA14"/>
  <c r="BA13"/>
  <c r="BA12"/>
  <c r="BA10"/>
  <c r="BE19" i="8" l="1"/>
  <c r="BA21"/>
  <c r="BA20" s="1"/>
  <c r="BC19"/>
  <c r="BA29"/>
  <c r="BE19" i="7"/>
  <c r="BA21"/>
  <c r="BC19"/>
  <c r="BA29"/>
  <c r="BA20"/>
  <c r="BF19"/>
  <c r="BB19" i="8"/>
  <c r="BD19"/>
  <c r="BD19" i="2"/>
  <c r="BD48" s="1"/>
  <c r="BF19"/>
  <c r="BF48" s="1"/>
  <c r="BA21"/>
  <c r="BA9" i="8"/>
  <c r="BG9" s="1"/>
  <c r="BA9" i="7"/>
  <c r="BA9" i="2"/>
  <c r="BG9" s="1"/>
  <c r="BB48" i="7"/>
  <c r="BD48"/>
  <c r="BF48"/>
  <c r="BC48" i="8"/>
  <c r="BE48"/>
  <c r="BC48" i="7"/>
  <c r="BE48"/>
  <c r="BB48" i="8"/>
  <c r="BD48"/>
  <c r="BF48"/>
  <c r="BA29" i="2"/>
  <c r="BA20"/>
  <c r="BB48"/>
  <c r="BE19"/>
  <c r="BE48" s="1"/>
  <c r="BC19"/>
  <c r="BC48" s="1"/>
  <c r="BA19" i="7" l="1"/>
  <c r="BG19" s="1"/>
  <c r="BA19" i="8"/>
  <c r="BA48" s="1"/>
  <c r="BG9" i="7"/>
  <c r="BA19" i="2"/>
  <c r="BA48" i="7" l="1"/>
  <c r="BG19" i="8"/>
  <c r="BA48" i="2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<sst xmlns="http://schemas.openxmlformats.org/spreadsheetml/2006/main" count="459" uniqueCount="200">
  <si>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</si>
  <si>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</si>
  <si>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</si>
  <si>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</si>
  <si>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</si>
  <si>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</si>
  <si>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</si>
  <si>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</si>
  <si>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</si>
  <si>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</si>
  <si>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</si>
  <si>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</si>
  <si>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180</t>
  </si>
  <si>
    <t>120</t>
  </si>
  <si>
    <t>140</t>
  </si>
  <si>
    <t>130</t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</si>
  <si>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</si>
  <si>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</si>
  <si>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</si>
  <si>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</si>
  <si>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</si>
  <si>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</si>
  <si>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</si>
  <si>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</si>
  <si>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</si>
  <si>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</si>
  <si>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</si>
  <si>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</si>
  <si>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</si>
  <si>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</si>
  <si>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</si>
  <si>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</si>
  <si>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</si>
  <si>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</si>
  <si>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код субсидии 2021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</si>
  <si>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</si>
  <si>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</si>
  <si>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</si>
  <si>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</si>
  <si>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</si>
  <si>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код субсидии 2006, 2009, 2010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</si>
  <si>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</si>
  <si>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</si>
  <si>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</si>
  <si>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</si>
  <si>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</si>
  <si>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</si>
  <si>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</si>
  <si>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</si>
  <si>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</si>
  <si>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</si>
  <si>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</si>
  <si>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</si>
  <si>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</si>
  <si>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</si>
  <si>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</si>
  <si>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</si>
  <si>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</si>
  <si>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</si>
  <si>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</si>
  <si>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</si>
  <si>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</si>
  <si>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</si>
  <si>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</si>
  <si>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</si>
  <si>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</si>
  <si>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</si>
  <si>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</si>
  <si>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</si>
  <si>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</si>
  <si>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</si>
  <si>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</si>
  <si>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</si>
  <si>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</si>
  <si>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</si>
  <si>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</si>
  <si>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</si>
  <si>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Управление физической культуры и спорта мэрии городского округа Тольятти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</si>
  <si>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</si>
  <si>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</si>
  <si>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</si>
  <si>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</si>
  <si>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</si>
  <si>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</si>
  <si>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</si>
  <si>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</si>
  <si>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</si>
  <si>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</si>
  <si>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</si>
  <si>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</si>
  <si>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</si>
  <si>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</si>
  <si>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</si>
  <si>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</si>
  <si>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</si>
  <si>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</si>
  <si>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</si>
  <si>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</si>
  <si>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</si>
  <si>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</si>
  <si>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</si>
  <si>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</si>
  <si>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</si>
  <si>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</si>
  <si>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</si>
  <si>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</si>
  <si>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</si>
  <si>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</si>
  <si>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</si>
  <si>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</si>
  <si>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</si>
  <si>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</si>
  <si>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</si>
  <si>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</si>
  <si>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</si>
  <si>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</si>
  <si>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</si>
  <si>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</si>
  <si>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</si>
  <si>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</si>
  <si>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</si>
  <si>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</si>
  <si>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</si>
  <si>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</si>
  <si>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</si>
  <si>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</si>
  <si>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</si>
  <si>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</si>
  <si>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</si>
  <si>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</si>
  <si>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</si>
  <si>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</si>
  <si>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</si>
  <si>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</si>
  <si>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</si>
  <si>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</si>
  <si>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Главный бухгалтер  </t>
  </si>
  <si>
    <t xml:space="preserve">Исполнитель  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</si>
  <si>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2017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</si>
  <si>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2018 г.</t>
    </r>
  </si>
  <si>
    <t>План финансово-хозяйственной деятельности на 2016 год и плановый период 2017-2018 г.г</t>
  </si>
  <si>
    <t>КВР</t>
  </si>
  <si>
    <t>КОСГУ</t>
  </si>
  <si>
    <t>Директор МБУДО СДЮСШОР № 4 "Шахматы"</t>
  </si>
  <si>
    <t xml:space="preserve">                                      Г.Р. Салахова</t>
  </si>
  <si>
    <t>16</t>
  </si>
  <si>
    <t>_______________</t>
  </si>
  <si>
    <t>Руководитель Управления физической культуры и спорта мэрии городского округа Тольятти</t>
  </si>
  <si>
    <t xml:space="preserve">                                  А.Е. Герунов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</si>
  <si>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</si>
  <si>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</si>
  <si>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</si>
  <si>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</si>
  <si>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на 01.01.2016г.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</si>
  <si>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___.05.</t>
    </r>
    <r>
      <rPr>
        <b/>
        <sz val="8"/>
        <rFont val="Times New Roman"/>
        <family val="1"/>
        <charset val="204"/>
      </rPr>
      <t>2016  г.</t>
    </r>
  </si>
  <si>
    <t>О.В. Зайцева</t>
  </si>
  <si>
    <t>тел.:      27-02-37</t>
  </si>
  <si>
    <t>-</t>
  </si>
  <si>
    <t>"_____" ________________ 2016 г.</t>
  </si>
  <si>
    <t>на  _____.05.2016 г.</t>
  </si>
  <si>
    <t>на 2016 г. очередной финансовый год</t>
  </si>
  <si>
    <t>на 2017 г. 1-ый год планового периода</t>
  </si>
  <si>
    <t>на 2018 г. 2-ой год планового периода</t>
  </si>
  <si>
    <t>на   ____.05.2016г.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</si>
  <si>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</si>
  <si>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</si>
  <si>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</si>
  <si>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 xml:space="preserve">1.5. Общая балансовая стоимость движимого муниципального имущества на 26.05.2016г, всего: 3 734 976,15руб.
в том числе:
- балансовая стоимость особо ценного движимого имущества: 3 366 924,47
</t>
  </si>
  <si>
    <t>1.4. Общая балансовая стоимость недвижимого муниципального имущества на 26.05.2016г., всего: 
25 010 899,58руб.
в том числе:
- закрепленного собственником имущества за учреждением на праве оперативного управления: 25 010 899,58руб.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</si>
  <si>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</si>
  <si>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</si>
  <si>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</si>
  <si>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</si>
  <si>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</si>
  <si>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</si>
  <si>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</si>
  <si>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СВОД ПО КОСГУ / КВР</t>
  </si>
  <si>
    <t>Всего 2016г, руб.</t>
  </si>
  <si>
    <t>в т.ч.</t>
  </si>
  <si>
    <t>итого</t>
  </si>
  <si>
    <t>Китай - на корректировку КВР / КОСГУ: с КВР 244, КОСГУ 225 на :</t>
  </si>
  <si>
    <t>Всего 2017г, руб.</t>
  </si>
  <si>
    <t>Всего 2018г, руб.</t>
  </si>
  <si>
    <t>ифо 5000</t>
  </si>
  <si>
    <t>Транспортные услуги (на 24 000,00р)</t>
  </si>
  <si>
    <t>Услуги по организации питания (40 000,00р)</t>
  </si>
  <si>
    <t>Поставка настольных флажков с держателями (1 920,00р)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</si>
  <si>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</si>
  <si>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</si>
  <si>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</si>
  <si>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</si>
  <si>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Услуги по проживанию (72 000,00р)</t>
  </si>
  <si>
    <t xml:space="preserve">КОСГУ 222 - </t>
  </si>
  <si>
    <t xml:space="preserve">КОСГУ 226 - </t>
  </si>
  <si>
    <t xml:space="preserve">КОСГУ 290 - </t>
  </si>
  <si>
    <t xml:space="preserve">КОСГУ 340 - </t>
  </si>
  <si>
    <t xml:space="preserve">Поставка наградной атрибутики  (2 700,00р) </t>
  </si>
  <si>
    <t>Предмет договора по Китаю:</t>
  </si>
  <si>
    <t>Поставка бланков для записи партий, блокнотов  (3 300,00р)</t>
  </si>
  <si>
    <t>Поставка сувенирной продукции, баннера, перетяга (21 722,00)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</si>
</sst>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#,##0.0"/>
  </numFmts>
  <fonts count="26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1"/>
      <name val="Times New Roman"/>
      <family val="1"/>
      <charset val="204"/>
    </font>
    <font>
      <b/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5" fillId="2" borderId="1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top"/>
    </xf>
    <xf numFmtId="49" fontId="8" fillId="0" borderId="1" xfId="0" applyNumberFormat="1" applyFont="1" applyBorder="1" applyAlignment="1" applyProtection="1"/>
    <xf numFmtId="0" fontId="7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4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5" fillId="0" borderId="0" xfId="0" applyFont="1"/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wrapText="1"/>
    </xf>
    <xf numFmtId="0" fontId="0" fillId="0" borderId="0" xfId="0" applyAlignment="1"/>
    <xf numFmtId="49" fontId="14" fillId="0" borderId="1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horizontal="left" vertical="top" wrapText="1" indent="3"/>
    </xf>
    <xf numFmtId="0" fontId="13" fillId="0" borderId="15" xfId="0" applyFont="1" applyBorder="1" applyAlignment="1">
      <alignment horizontal="left" vertical="top" wrapText="1" indent="2"/>
    </xf>
    <xf numFmtId="0" fontId="13" fillId="0" borderId="15" xfId="0" applyFont="1" applyBorder="1" applyAlignment="1">
      <alignment horizontal="left" vertical="top" wrapText="1" indent="4"/>
    </xf>
    <xf numFmtId="0" fontId="16" fillId="0" borderId="0" xfId="0" applyFont="1" applyAlignment="1">
      <alignment horizontal="justify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0" fillId="0" borderId="0" xfId="0" applyAlignment="1">
      <alignment vertical="top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1" xfId="0" applyBorder="1"/>
    <xf numFmtId="0" fontId="13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43" fontId="16" fillId="0" borderId="15" xfId="0" applyNumberFormat="1" applyFont="1" applyBorder="1" applyAlignment="1">
      <alignment vertical="top" wrapText="1"/>
    </xf>
    <xf numFmtId="43" fontId="16" fillId="0" borderId="15" xfId="0" applyNumberFormat="1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43" fontId="11" fillId="0" borderId="15" xfId="0" applyNumberFormat="1" applyFont="1" applyBorder="1" applyAlignment="1">
      <alignment vertical="top" wrapText="1"/>
    </xf>
    <xf numFmtId="43" fontId="13" fillId="0" borderId="15" xfId="0" applyNumberFormat="1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21" fillId="0" borderId="0" xfId="0" applyFont="1"/>
    <xf numFmtId="4" fontId="21" fillId="0" borderId="0" xfId="0" applyNumberFormat="1" applyFont="1" applyAlignment="1">
      <alignment horizontal="left"/>
    </xf>
    <xf numFmtId="43" fontId="5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3" fontId="4" fillId="2" borderId="15" xfId="0" applyNumberFormat="1" applyFont="1" applyFill="1" applyBorder="1" applyAlignment="1" applyProtection="1">
      <alignment horizontal="center" vertical="center"/>
    </xf>
    <xf numFmtId="43" fontId="1" fillId="3" borderId="15" xfId="0" applyNumberFormat="1" applyFont="1" applyFill="1" applyBorder="1" applyAlignment="1" applyProtection="1">
      <alignment horizontal="center" vertical="center"/>
    </xf>
    <xf numFmtId="43" fontId="1" fillId="2" borderId="15" xfId="0" applyNumberFormat="1" applyFont="1" applyFill="1" applyBorder="1" applyAlignment="1" applyProtection="1">
      <alignment horizontal="center" vertical="center"/>
    </xf>
    <xf numFmtId="43" fontId="13" fillId="0" borderId="15" xfId="0" applyNumberFormat="1" applyFont="1" applyBorder="1" applyAlignment="1">
      <alignment wrapText="1"/>
    </xf>
    <xf numFmtId="43" fontId="2" fillId="2" borderId="11" xfId="0" applyNumberFormat="1" applyFont="1" applyFill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43" fontId="5" fillId="0" borderId="15" xfId="0" applyNumberFormat="1" applyFont="1" applyFill="1" applyBorder="1" applyAlignment="1" applyProtection="1">
      <alignment horizontal="center" vertical="center"/>
    </xf>
    <xf numFmtId="43" fontId="0" fillId="0" borderId="0" xfId="0" applyNumberFormat="1"/>
    <xf numFmtId="0" fontId="6" fillId="0" borderId="15" xfId="0" applyFont="1" applyBorder="1"/>
    <xf numFmtId="0" fontId="0" fillId="0" borderId="15" xfId="0" applyBorder="1"/>
    <xf numFmtId="4" fontId="0" fillId="0" borderId="15" xfId="0" applyNumberFormat="1" applyBorder="1"/>
    <xf numFmtId="4" fontId="0" fillId="4" borderId="15" xfId="0" applyNumberFormat="1" applyFill="1" applyBorder="1"/>
    <xf numFmtId="0" fontId="19" fillId="4" borderId="15" xfId="0" applyFont="1" applyFill="1" applyBorder="1" applyAlignment="1">
      <alignment horizontal="center"/>
    </xf>
    <xf numFmtId="0" fontId="23" fillId="4" borderId="15" xfId="0" applyFont="1" applyFill="1" applyBorder="1"/>
    <xf numFmtId="4" fontId="6" fillId="0" borderId="15" xfId="0" applyNumberFormat="1" applyFont="1" applyBorder="1" applyAlignment="1">
      <alignment horizontal="center"/>
    </xf>
    <xf numFmtId="0" fontId="22" fillId="0" borderId="0" xfId="0" applyFont="1" applyAlignment="1">
      <alignment textRotation="90" wrapText="1"/>
    </xf>
    <xf numFmtId="0" fontId="6" fillId="0" borderId="15" xfId="0" applyFont="1" applyBorder="1" applyAlignment="1">
      <alignment horizontal="center"/>
    </xf>
    <xf numFmtId="165" fontId="21" fillId="0" borderId="2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0" fontId="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9" fillId="4" borderId="10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I42"/>
  <sheetViews>
    <sheetView view="pageBreakPreview" topLeftCell="A36" zoomScale="78" zoomScaleNormal="100" zoomScaleSheetLayoutView="78" workbookViewId="0">
      <selection activeCell="DZ40" sqref="DZ40"/>
    </sheetView>
  </sheetViews>
  <sheetFormatPr defaultRowHeight="12.75"/>
  <cols>
    <col min="1" max="1" width="0.85546875" style="14" customWidth="1"/>
    <col min="2" max="40" width="1.140625" style="14" customWidth="1"/>
    <col min="41" max="114" width="0.85546875" style="14" customWidth="1"/>
    <col min="115" max="115" width="1.5703125" style="14" customWidth="1"/>
    <col min="116" max="116" width="1.7109375" style="14" customWidth="1"/>
    <col min="117" max="127" width="0.85546875" style="14" customWidth="1"/>
    <col min="128" max="128" width="0.42578125" style="14" customWidth="1"/>
    <col min="129" max="129" width="0.85546875" style="14" hidden="1" customWidth="1"/>
    <col min="130" max="130" width="74.140625" style="14" customWidth="1"/>
    <col min="131" max="165" width="0.85546875" style="14" customWidth="1"/>
    <col min="166" max="256" width="9.140625" style="14"/>
    <col min="257" max="257" width="0.85546875" style="14" customWidth="1"/>
    <col min="258" max="296" width="1.140625" style="14" customWidth="1"/>
    <col min="297" max="421" width="0.85546875" style="14" customWidth="1"/>
    <col min="422" max="512" width="9.140625" style="14"/>
    <col min="513" max="513" width="0.85546875" style="14" customWidth="1"/>
    <col min="514" max="552" width="1.140625" style="14" customWidth="1"/>
    <col min="553" max="677" width="0.85546875" style="14" customWidth="1"/>
    <col min="678" max="768" width="9.140625" style="14"/>
    <col min="769" max="769" width="0.85546875" style="14" customWidth="1"/>
    <col min="770" max="808" width="1.140625" style="14" customWidth="1"/>
    <col min="809" max="933" width="0.85546875" style="14" customWidth="1"/>
    <col min="934" max="1024" width="9.140625" style="14"/>
    <col min="1025" max="1025" width="0.85546875" style="14" customWidth="1"/>
    <col min="1026" max="1064" width="1.140625" style="14" customWidth="1"/>
    <col min="1065" max="1189" width="0.85546875" style="14" customWidth="1"/>
    <col min="1190" max="1280" width="9.140625" style="14"/>
    <col min="1281" max="1281" width="0.85546875" style="14" customWidth="1"/>
    <col min="1282" max="1320" width="1.140625" style="14" customWidth="1"/>
    <col min="1321" max="1445" width="0.85546875" style="14" customWidth="1"/>
    <col min="1446" max="1536" width="9.140625" style="14"/>
    <col min="1537" max="1537" width="0.85546875" style="14" customWidth="1"/>
    <col min="1538" max="1576" width="1.140625" style="14" customWidth="1"/>
    <col min="1577" max="1701" width="0.85546875" style="14" customWidth="1"/>
    <col min="1702" max="1792" width="9.140625" style="14"/>
    <col min="1793" max="1793" width="0.85546875" style="14" customWidth="1"/>
    <col min="1794" max="1832" width="1.140625" style="14" customWidth="1"/>
    <col min="1833" max="1957" width="0.85546875" style="14" customWidth="1"/>
    <col min="1958" max="2048" width="9.140625" style="14"/>
    <col min="2049" max="2049" width="0.85546875" style="14" customWidth="1"/>
    <col min="2050" max="2088" width="1.140625" style="14" customWidth="1"/>
    <col min="2089" max="2213" width="0.85546875" style="14" customWidth="1"/>
    <col min="2214" max="2304" width="9.140625" style="14"/>
    <col min="2305" max="2305" width="0.85546875" style="14" customWidth="1"/>
    <col min="2306" max="2344" width="1.140625" style="14" customWidth="1"/>
    <col min="2345" max="2469" width="0.85546875" style="14" customWidth="1"/>
    <col min="2470" max="2560" width="9.140625" style="14"/>
    <col min="2561" max="2561" width="0.85546875" style="14" customWidth="1"/>
    <col min="2562" max="2600" width="1.140625" style="14" customWidth="1"/>
    <col min="2601" max="2725" width="0.85546875" style="14" customWidth="1"/>
    <col min="2726" max="2816" width="9.140625" style="14"/>
    <col min="2817" max="2817" width="0.85546875" style="14" customWidth="1"/>
    <col min="2818" max="2856" width="1.140625" style="14" customWidth="1"/>
    <col min="2857" max="2981" width="0.85546875" style="14" customWidth="1"/>
    <col min="2982" max="3072" width="9.140625" style="14"/>
    <col min="3073" max="3073" width="0.85546875" style="14" customWidth="1"/>
    <col min="3074" max="3112" width="1.140625" style="14" customWidth="1"/>
    <col min="3113" max="3237" width="0.85546875" style="14" customWidth="1"/>
    <col min="3238" max="3328" width="9.140625" style="14"/>
    <col min="3329" max="3329" width="0.85546875" style="14" customWidth="1"/>
    <col min="3330" max="3368" width="1.140625" style="14" customWidth="1"/>
    <col min="3369" max="3493" width="0.85546875" style="14" customWidth="1"/>
    <col min="3494" max="3584" width="9.140625" style="14"/>
    <col min="3585" max="3585" width="0.85546875" style="14" customWidth="1"/>
    <col min="3586" max="3624" width="1.140625" style="14" customWidth="1"/>
    <col min="3625" max="3749" width="0.85546875" style="14" customWidth="1"/>
    <col min="3750" max="3840" width="9.140625" style="14"/>
    <col min="3841" max="3841" width="0.85546875" style="14" customWidth="1"/>
    <col min="3842" max="3880" width="1.140625" style="14" customWidth="1"/>
    <col min="3881" max="4005" width="0.85546875" style="14" customWidth="1"/>
    <col min="4006" max="4096" width="9.140625" style="14"/>
    <col min="4097" max="4097" width="0.85546875" style="14" customWidth="1"/>
    <col min="4098" max="4136" width="1.140625" style="14" customWidth="1"/>
    <col min="4137" max="4261" width="0.85546875" style="14" customWidth="1"/>
    <col min="4262" max="4352" width="9.140625" style="14"/>
    <col min="4353" max="4353" width="0.85546875" style="14" customWidth="1"/>
    <col min="4354" max="4392" width="1.140625" style="14" customWidth="1"/>
    <col min="4393" max="4517" width="0.85546875" style="14" customWidth="1"/>
    <col min="4518" max="4608" width="9.140625" style="14"/>
    <col min="4609" max="4609" width="0.85546875" style="14" customWidth="1"/>
    <col min="4610" max="4648" width="1.140625" style="14" customWidth="1"/>
    <col min="4649" max="4773" width="0.85546875" style="14" customWidth="1"/>
    <col min="4774" max="4864" width="9.140625" style="14"/>
    <col min="4865" max="4865" width="0.85546875" style="14" customWidth="1"/>
    <col min="4866" max="4904" width="1.140625" style="14" customWidth="1"/>
    <col min="4905" max="5029" width="0.85546875" style="14" customWidth="1"/>
    <col min="5030" max="5120" width="9.140625" style="14"/>
    <col min="5121" max="5121" width="0.85546875" style="14" customWidth="1"/>
    <col min="5122" max="5160" width="1.140625" style="14" customWidth="1"/>
    <col min="5161" max="5285" width="0.85546875" style="14" customWidth="1"/>
    <col min="5286" max="5376" width="9.140625" style="14"/>
    <col min="5377" max="5377" width="0.85546875" style="14" customWidth="1"/>
    <col min="5378" max="5416" width="1.140625" style="14" customWidth="1"/>
    <col min="5417" max="5541" width="0.85546875" style="14" customWidth="1"/>
    <col min="5542" max="5632" width="9.140625" style="14"/>
    <col min="5633" max="5633" width="0.85546875" style="14" customWidth="1"/>
    <col min="5634" max="5672" width="1.140625" style="14" customWidth="1"/>
    <col min="5673" max="5797" width="0.85546875" style="14" customWidth="1"/>
    <col min="5798" max="5888" width="9.140625" style="14"/>
    <col min="5889" max="5889" width="0.85546875" style="14" customWidth="1"/>
    <col min="5890" max="5928" width="1.140625" style="14" customWidth="1"/>
    <col min="5929" max="6053" width="0.85546875" style="14" customWidth="1"/>
    <col min="6054" max="6144" width="9.140625" style="14"/>
    <col min="6145" max="6145" width="0.85546875" style="14" customWidth="1"/>
    <col min="6146" max="6184" width="1.140625" style="14" customWidth="1"/>
    <col min="6185" max="6309" width="0.85546875" style="14" customWidth="1"/>
    <col min="6310" max="6400" width="9.140625" style="14"/>
    <col min="6401" max="6401" width="0.85546875" style="14" customWidth="1"/>
    <col min="6402" max="6440" width="1.140625" style="14" customWidth="1"/>
    <col min="6441" max="6565" width="0.85546875" style="14" customWidth="1"/>
    <col min="6566" max="6656" width="9.140625" style="14"/>
    <col min="6657" max="6657" width="0.85546875" style="14" customWidth="1"/>
    <col min="6658" max="6696" width="1.140625" style="14" customWidth="1"/>
    <col min="6697" max="6821" width="0.85546875" style="14" customWidth="1"/>
    <col min="6822" max="6912" width="9.140625" style="14"/>
    <col min="6913" max="6913" width="0.85546875" style="14" customWidth="1"/>
    <col min="6914" max="6952" width="1.140625" style="14" customWidth="1"/>
    <col min="6953" max="7077" width="0.85546875" style="14" customWidth="1"/>
    <col min="7078" max="7168" width="9.140625" style="14"/>
    <col min="7169" max="7169" width="0.85546875" style="14" customWidth="1"/>
    <col min="7170" max="7208" width="1.140625" style="14" customWidth="1"/>
    <col min="7209" max="7333" width="0.85546875" style="14" customWidth="1"/>
    <col min="7334" max="7424" width="9.140625" style="14"/>
    <col min="7425" max="7425" width="0.85546875" style="14" customWidth="1"/>
    <col min="7426" max="7464" width="1.140625" style="14" customWidth="1"/>
    <col min="7465" max="7589" width="0.85546875" style="14" customWidth="1"/>
    <col min="7590" max="7680" width="9.140625" style="14"/>
    <col min="7681" max="7681" width="0.85546875" style="14" customWidth="1"/>
    <col min="7682" max="7720" width="1.140625" style="14" customWidth="1"/>
    <col min="7721" max="7845" width="0.85546875" style="14" customWidth="1"/>
    <col min="7846" max="7936" width="9.140625" style="14"/>
    <col min="7937" max="7937" width="0.85546875" style="14" customWidth="1"/>
    <col min="7938" max="7976" width="1.140625" style="14" customWidth="1"/>
    <col min="7977" max="8101" width="0.85546875" style="14" customWidth="1"/>
    <col min="8102" max="8192" width="9.140625" style="14"/>
    <col min="8193" max="8193" width="0.85546875" style="14" customWidth="1"/>
    <col min="8194" max="8232" width="1.140625" style="14" customWidth="1"/>
    <col min="8233" max="8357" width="0.85546875" style="14" customWidth="1"/>
    <col min="8358" max="8448" width="9.140625" style="14"/>
    <col min="8449" max="8449" width="0.85546875" style="14" customWidth="1"/>
    <col min="8450" max="8488" width="1.140625" style="14" customWidth="1"/>
    <col min="8489" max="8613" width="0.85546875" style="14" customWidth="1"/>
    <col min="8614" max="8704" width="9.140625" style="14"/>
    <col min="8705" max="8705" width="0.85546875" style="14" customWidth="1"/>
    <col min="8706" max="8744" width="1.140625" style="14" customWidth="1"/>
    <col min="8745" max="8869" width="0.85546875" style="14" customWidth="1"/>
    <col min="8870" max="8960" width="9.140625" style="14"/>
    <col min="8961" max="8961" width="0.85546875" style="14" customWidth="1"/>
    <col min="8962" max="9000" width="1.140625" style="14" customWidth="1"/>
    <col min="9001" max="9125" width="0.85546875" style="14" customWidth="1"/>
    <col min="9126" max="9216" width="9.140625" style="14"/>
    <col min="9217" max="9217" width="0.85546875" style="14" customWidth="1"/>
    <col min="9218" max="9256" width="1.140625" style="14" customWidth="1"/>
    <col min="9257" max="9381" width="0.85546875" style="14" customWidth="1"/>
    <col min="9382" max="9472" width="9.140625" style="14"/>
    <col min="9473" max="9473" width="0.85546875" style="14" customWidth="1"/>
    <col min="9474" max="9512" width="1.140625" style="14" customWidth="1"/>
    <col min="9513" max="9637" width="0.85546875" style="14" customWidth="1"/>
    <col min="9638" max="9728" width="9.140625" style="14"/>
    <col min="9729" max="9729" width="0.85546875" style="14" customWidth="1"/>
    <col min="9730" max="9768" width="1.140625" style="14" customWidth="1"/>
    <col min="9769" max="9893" width="0.85546875" style="14" customWidth="1"/>
    <col min="9894" max="9984" width="9.140625" style="14"/>
    <col min="9985" max="9985" width="0.85546875" style="14" customWidth="1"/>
    <col min="9986" max="10024" width="1.140625" style="14" customWidth="1"/>
    <col min="10025" max="10149" width="0.85546875" style="14" customWidth="1"/>
    <col min="10150" max="10240" width="9.140625" style="14"/>
    <col min="10241" max="10241" width="0.85546875" style="14" customWidth="1"/>
    <col min="10242" max="10280" width="1.140625" style="14" customWidth="1"/>
    <col min="10281" max="10405" width="0.85546875" style="14" customWidth="1"/>
    <col min="10406" max="10496" width="9.140625" style="14"/>
    <col min="10497" max="10497" width="0.85546875" style="14" customWidth="1"/>
    <col min="10498" max="10536" width="1.140625" style="14" customWidth="1"/>
    <col min="10537" max="10661" width="0.85546875" style="14" customWidth="1"/>
    <col min="10662" max="10752" width="9.140625" style="14"/>
    <col min="10753" max="10753" width="0.85546875" style="14" customWidth="1"/>
    <col min="10754" max="10792" width="1.140625" style="14" customWidth="1"/>
    <col min="10793" max="10917" width="0.85546875" style="14" customWidth="1"/>
    <col min="10918" max="11008" width="9.140625" style="14"/>
    <col min="11009" max="11009" width="0.85546875" style="14" customWidth="1"/>
    <col min="11010" max="11048" width="1.140625" style="14" customWidth="1"/>
    <col min="11049" max="11173" width="0.85546875" style="14" customWidth="1"/>
    <col min="11174" max="11264" width="9.140625" style="14"/>
    <col min="11265" max="11265" width="0.85546875" style="14" customWidth="1"/>
    <col min="11266" max="11304" width="1.140625" style="14" customWidth="1"/>
    <col min="11305" max="11429" width="0.85546875" style="14" customWidth="1"/>
    <col min="11430" max="11520" width="9.140625" style="14"/>
    <col min="11521" max="11521" width="0.85546875" style="14" customWidth="1"/>
    <col min="11522" max="11560" width="1.140625" style="14" customWidth="1"/>
    <col min="11561" max="11685" width="0.85546875" style="14" customWidth="1"/>
    <col min="11686" max="11776" width="9.140625" style="14"/>
    <col min="11777" max="11777" width="0.85546875" style="14" customWidth="1"/>
    <col min="11778" max="11816" width="1.140625" style="14" customWidth="1"/>
    <col min="11817" max="11941" width="0.85546875" style="14" customWidth="1"/>
    <col min="11942" max="12032" width="9.140625" style="14"/>
    <col min="12033" max="12033" width="0.85546875" style="14" customWidth="1"/>
    <col min="12034" max="12072" width="1.140625" style="14" customWidth="1"/>
    <col min="12073" max="12197" width="0.85546875" style="14" customWidth="1"/>
    <col min="12198" max="12288" width="9.140625" style="14"/>
    <col min="12289" max="12289" width="0.85546875" style="14" customWidth="1"/>
    <col min="12290" max="12328" width="1.140625" style="14" customWidth="1"/>
    <col min="12329" max="12453" width="0.85546875" style="14" customWidth="1"/>
    <col min="12454" max="12544" width="9.140625" style="14"/>
    <col min="12545" max="12545" width="0.85546875" style="14" customWidth="1"/>
    <col min="12546" max="12584" width="1.140625" style="14" customWidth="1"/>
    <col min="12585" max="12709" width="0.85546875" style="14" customWidth="1"/>
    <col min="12710" max="12800" width="9.140625" style="14"/>
    <col min="12801" max="12801" width="0.85546875" style="14" customWidth="1"/>
    <col min="12802" max="12840" width="1.140625" style="14" customWidth="1"/>
    <col min="12841" max="12965" width="0.85546875" style="14" customWidth="1"/>
    <col min="12966" max="13056" width="9.140625" style="14"/>
    <col min="13057" max="13057" width="0.85546875" style="14" customWidth="1"/>
    <col min="13058" max="13096" width="1.140625" style="14" customWidth="1"/>
    <col min="13097" max="13221" width="0.85546875" style="14" customWidth="1"/>
    <col min="13222" max="13312" width="9.140625" style="14"/>
    <col min="13313" max="13313" width="0.85546875" style="14" customWidth="1"/>
    <col min="13314" max="13352" width="1.140625" style="14" customWidth="1"/>
    <col min="13353" max="13477" width="0.85546875" style="14" customWidth="1"/>
    <col min="13478" max="13568" width="9.140625" style="14"/>
    <col min="13569" max="13569" width="0.85546875" style="14" customWidth="1"/>
    <col min="13570" max="13608" width="1.140625" style="14" customWidth="1"/>
    <col min="13609" max="13733" width="0.85546875" style="14" customWidth="1"/>
    <col min="13734" max="13824" width="9.140625" style="14"/>
    <col min="13825" max="13825" width="0.85546875" style="14" customWidth="1"/>
    <col min="13826" max="13864" width="1.140625" style="14" customWidth="1"/>
    <col min="13865" max="13989" width="0.85546875" style="14" customWidth="1"/>
    <col min="13990" max="14080" width="9.140625" style="14"/>
    <col min="14081" max="14081" width="0.85546875" style="14" customWidth="1"/>
    <col min="14082" max="14120" width="1.140625" style="14" customWidth="1"/>
    <col min="14121" max="14245" width="0.85546875" style="14" customWidth="1"/>
    <col min="14246" max="14336" width="9.140625" style="14"/>
    <col min="14337" max="14337" width="0.85546875" style="14" customWidth="1"/>
    <col min="14338" max="14376" width="1.140625" style="14" customWidth="1"/>
    <col min="14377" max="14501" width="0.85546875" style="14" customWidth="1"/>
    <col min="14502" max="14592" width="9.140625" style="14"/>
    <col min="14593" max="14593" width="0.85546875" style="14" customWidth="1"/>
    <col min="14594" max="14632" width="1.140625" style="14" customWidth="1"/>
    <col min="14633" max="14757" width="0.85546875" style="14" customWidth="1"/>
    <col min="14758" max="14848" width="9.140625" style="14"/>
    <col min="14849" max="14849" width="0.85546875" style="14" customWidth="1"/>
    <col min="14850" max="14888" width="1.140625" style="14" customWidth="1"/>
    <col min="14889" max="15013" width="0.85546875" style="14" customWidth="1"/>
    <col min="15014" max="15104" width="9.140625" style="14"/>
    <col min="15105" max="15105" width="0.85546875" style="14" customWidth="1"/>
    <col min="15106" max="15144" width="1.140625" style="14" customWidth="1"/>
    <col min="15145" max="15269" width="0.85546875" style="14" customWidth="1"/>
    <col min="15270" max="15360" width="9.140625" style="14"/>
    <col min="15361" max="15361" width="0.85546875" style="14" customWidth="1"/>
    <col min="15362" max="15400" width="1.140625" style="14" customWidth="1"/>
    <col min="15401" max="15525" width="0.85546875" style="14" customWidth="1"/>
    <col min="15526" max="15616" width="9.140625" style="14"/>
    <col min="15617" max="15617" width="0.85546875" style="14" customWidth="1"/>
    <col min="15618" max="15656" width="1.140625" style="14" customWidth="1"/>
    <col min="15657" max="15781" width="0.85546875" style="14" customWidth="1"/>
    <col min="15782" max="15872" width="9.140625" style="14"/>
    <col min="15873" max="15873" width="0.85546875" style="14" customWidth="1"/>
    <col min="15874" max="15912" width="1.140625" style="14" customWidth="1"/>
    <col min="15913" max="16037" width="0.85546875" style="14" customWidth="1"/>
    <col min="16038" max="16128" width="9.140625" style="14"/>
    <col min="16129" max="16129" width="0.85546875" style="14" customWidth="1"/>
    <col min="16130" max="16168" width="1.140625" style="14" customWidth="1"/>
    <col min="16169" max="16293" width="0.85546875" style="14" customWidth="1"/>
    <col min="16294" max="16384" width="9.140625" style="14"/>
  </cols>
  <sheetData>
    <row r="1" spans="1:155">
      <c r="N1" s="27"/>
    </row>
    <row r="2" spans="1:155" ht="15">
      <c r="A2" s="28"/>
      <c r="B2" s="28"/>
      <c r="C2" s="28"/>
      <c r="D2" s="28"/>
      <c r="E2" s="28"/>
      <c r="F2" s="28"/>
      <c r="G2" s="153" t="s">
        <v>80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CD2" s="153" t="s">
        <v>64</v>
      </c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29"/>
      <c r="DU2" s="29"/>
      <c r="DV2" s="29"/>
    </row>
    <row r="3" spans="1:155" ht="49.5" customHeight="1">
      <c r="A3" s="28"/>
      <c r="B3" s="28"/>
      <c r="C3" s="28"/>
      <c r="D3" s="28"/>
      <c r="E3" s="28"/>
      <c r="F3" s="28"/>
      <c r="G3" s="154" t="s">
        <v>147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D3" s="154" t="s">
        <v>143</v>
      </c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29"/>
      <c r="DU3" s="29"/>
      <c r="DV3" s="29"/>
      <c r="DW3" s="57"/>
    </row>
    <row r="4" spans="1:155" ht="24.75" customHeight="1">
      <c r="A4" s="30"/>
      <c r="B4" s="30"/>
      <c r="C4" s="30"/>
      <c r="D4" s="30"/>
      <c r="E4" s="30"/>
      <c r="F4" s="30"/>
      <c r="G4" s="155" t="s">
        <v>81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CD4" s="155" t="s">
        <v>65</v>
      </c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68"/>
      <c r="DU4" s="68"/>
      <c r="DV4" s="68"/>
      <c r="DW4" s="57"/>
    </row>
    <row r="5" spans="1:155" ht="15">
      <c r="A5" s="28"/>
      <c r="B5" s="28"/>
      <c r="C5" s="28"/>
      <c r="D5" s="28"/>
      <c r="E5" s="28"/>
      <c r="F5" s="28"/>
      <c r="G5" s="153" t="s">
        <v>148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CD5" s="153" t="s">
        <v>144</v>
      </c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29"/>
      <c r="DU5" s="29"/>
      <c r="DV5" s="29"/>
      <c r="DW5" s="57"/>
    </row>
    <row r="6" spans="1:155">
      <c r="A6" s="31"/>
      <c r="B6" s="31"/>
      <c r="C6" s="31"/>
      <c r="D6" s="31"/>
      <c r="E6" s="31"/>
      <c r="F6" s="31"/>
      <c r="G6" s="157" t="s">
        <v>66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31"/>
      <c r="W6" s="31"/>
      <c r="X6" s="157" t="s">
        <v>67</v>
      </c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CD6" s="157" t="s">
        <v>66</v>
      </c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31"/>
      <c r="CW6" s="31"/>
      <c r="CX6" s="31"/>
      <c r="CY6" s="31"/>
      <c r="CZ6" s="54" t="s">
        <v>67</v>
      </c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6"/>
      <c r="DU6" s="56"/>
      <c r="DV6" s="56"/>
    </row>
    <row r="7" spans="1:155" ht="15.2" customHeight="1">
      <c r="A7" s="32"/>
      <c r="B7" s="32"/>
      <c r="C7" s="32"/>
      <c r="D7" s="32"/>
      <c r="E7" s="33"/>
      <c r="F7" s="34"/>
      <c r="G7" s="48"/>
      <c r="H7" s="48"/>
      <c r="I7" s="35" t="s">
        <v>68</v>
      </c>
      <c r="J7" s="55"/>
      <c r="K7" s="55"/>
      <c r="L7" s="47" t="s">
        <v>68</v>
      </c>
      <c r="M7" s="34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9" t="s">
        <v>78</v>
      </c>
      <c r="AE7" s="159"/>
      <c r="AF7" s="159"/>
      <c r="AG7" s="160"/>
      <c r="AH7" s="160"/>
      <c r="AI7" s="160"/>
      <c r="AJ7" s="153" t="s">
        <v>79</v>
      </c>
      <c r="AK7" s="153"/>
      <c r="AL7" s="47"/>
      <c r="AM7" s="34"/>
      <c r="AN7" s="34"/>
      <c r="AO7" s="34"/>
      <c r="AP7" s="34"/>
      <c r="AQ7" s="47"/>
      <c r="AR7" s="48"/>
      <c r="AS7" s="48"/>
      <c r="AT7" s="48"/>
      <c r="AU7" s="48"/>
      <c r="AV7" s="48"/>
      <c r="AW7" s="48"/>
      <c r="AX7" s="48"/>
      <c r="AY7" s="48"/>
      <c r="CD7" s="48"/>
      <c r="CE7" s="48"/>
      <c r="CF7" s="48"/>
      <c r="CG7" s="48"/>
      <c r="CH7" s="35" t="s">
        <v>68</v>
      </c>
      <c r="CI7" s="135"/>
      <c r="CJ7" s="135"/>
      <c r="CK7" s="135"/>
      <c r="CL7" s="135"/>
      <c r="CM7" s="47" t="s">
        <v>68</v>
      </c>
      <c r="CN7" s="48"/>
      <c r="CO7" s="48"/>
      <c r="CP7" s="136" t="s">
        <v>146</v>
      </c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44">
        <v>20</v>
      </c>
      <c r="DJ7" s="144"/>
      <c r="DK7" s="144"/>
      <c r="DL7" s="135" t="s">
        <v>145</v>
      </c>
      <c r="DM7" s="135"/>
      <c r="DN7" s="135"/>
      <c r="DO7" s="135"/>
      <c r="DP7" s="47" t="s">
        <v>69</v>
      </c>
      <c r="DQ7" s="48"/>
      <c r="DR7" s="48"/>
      <c r="DS7" s="48"/>
      <c r="DT7" s="48"/>
      <c r="DU7" s="48"/>
      <c r="DV7" s="48"/>
    </row>
    <row r="8" spans="1:155" ht="15">
      <c r="BN8" s="28"/>
      <c r="CY8" s="36"/>
      <c r="DF8" s="28"/>
      <c r="DG8" s="28"/>
    </row>
    <row r="9" spans="1:155" ht="69.75" customHeight="1">
      <c r="A9" s="156" t="s">
        <v>140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</row>
    <row r="10" spans="1:155" ht="39" customHeight="1">
      <c r="DF10" s="28"/>
    </row>
    <row r="11" spans="1:155" ht="15">
      <c r="DJ11" s="145" t="s">
        <v>70</v>
      </c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</row>
    <row r="12" spans="1:155" ht="15.2" customHeight="1"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DH12" s="33" t="s">
        <v>71</v>
      </c>
      <c r="DJ12" s="138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40"/>
    </row>
    <row r="13" spans="1:155" ht="15.2" customHeight="1">
      <c r="X13" s="57"/>
      <c r="Y13" s="57"/>
      <c r="Z13" s="57"/>
      <c r="AA13" s="57"/>
      <c r="AB13" s="57"/>
      <c r="AC13" s="37"/>
      <c r="AD13" s="146"/>
      <c r="AE13" s="146"/>
      <c r="AF13" s="146"/>
      <c r="AG13" s="146"/>
      <c r="AH13" s="38"/>
      <c r="AI13" s="38"/>
      <c r="AJ13" s="38" t="s">
        <v>68</v>
      </c>
      <c r="AK13" s="38"/>
      <c r="AL13" s="74"/>
      <c r="AM13" s="74"/>
      <c r="AN13" s="74"/>
      <c r="AO13" s="74"/>
      <c r="AP13" s="58" t="s">
        <v>68</v>
      </c>
      <c r="AQ13" s="58"/>
      <c r="AR13" s="58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58">
        <v>20</v>
      </c>
      <c r="BL13" s="161"/>
      <c r="BM13" s="161"/>
      <c r="BN13" s="161"/>
      <c r="BO13" s="161"/>
      <c r="BP13" s="161"/>
      <c r="BQ13" s="161"/>
      <c r="BR13" s="161"/>
      <c r="BS13" s="38" t="s">
        <v>69</v>
      </c>
      <c r="BT13" s="38"/>
      <c r="BU13" s="48"/>
      <c r="CT13" s="39"/>
      <c r="DH13" s="33" t="s">
        <v>72</v>
      </c>
      <c r="DJ13" s="138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40"/>
    </row>
    <row r="14" spans="1:155" ht="24" customHeight="1">
      <c r="BH14" s="28"/>
      <c r="CT14" s="39"/>
      <c r="CU14" s="39"/>
      <c r="DH14" s="33"/>
      <c r="DJ14" s="138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40"/>
    </row>
    <row r="15" spans="1:155" ht="15">
      <c r="CT15" s="39"/>
      <c r="CU15" s="39"/>
      <c r="DH15" s="33"/>
      <c r="DJ15" s="138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40"/>
    </row>
    <row r="16" spans="1:155" ht="15.2" customHeight="1">
      <c r="A16" s="134" t="s">
        <v>82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70"/>
      <c r="AM16" s="70"/>
      <c r="AN16" s="70"/>
      <c r="AO16" s="134" t="s">
        <v>150</v>
      </c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40"/>
      <c r="CT16" s="40"/>
      <c r="DH16" s="33" t="s">
        <v>73</v>
      </c>
      <c r="DJ16" s="138" t="s">
        <v>149</v>
      </c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40"/>
    </row>
    <row r="17" spans="1:164" ht="15.2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70"/>
      <c r="AM17" s="70"/>
      <c r="AN17" s="70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40"/>
      <c r="CT17" s="40"/>
      <c r="CU17" s="39"/>
      <c r="DH17" s="33"/>
      <c r="DJ17" s="138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40"/>
    </row>
    <row r="18" spans="1:164" ht="66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70"/>
      <c r="AM18" s="70"/>
      <c r="AN18" s="70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40"/>
      <c r="CT18" s="40"/>
      <c r="CU18" s="39"/>
      <c r="DH18" s="41"/>
      <c r="DJ18" s="138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40"/>
    </row>
    <row r="19" spans="1:164" ht="15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T19" s="39"/>
      <c r="CU19" s="39"/>
      <c r="DH19" s="33"/>
      <c r="DJ19" s="141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3"/>
    </row>
    <row r="20" spans="1:164" ht="15.2" customHeight="1">
      <c r="A20" s="150" t="s">
        <v>74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71"/>
      <c r="AM20" s="71"/>
      <c r="AN20" s="71"/>
      <c r="AO20" s="151" t="s">
        <v>151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42"/>
      <c r="CT20" s="42"/>
      <c r="DH20" s="43"/>
      <c r="DJ20" s="147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9"/>
    </row>
    <row r="21" spans="1:164" ht="15.2" customHeight="1">
      <c r="A21" s="150" t="s">
        <v>85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71"/>
      <c r="AM21" s="71"/>
      <c r="AN21" s="7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DH21" s="44" t="s">
        <v>75</v>
      </c>
      <c r="DJ21" s="147" t="s">
        <v>76</v>
      </c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9"/>
    </row>
    <row r="22" spans="1:164" s="48" customFormat="1" ht="15.2" customHeight="1">
      <c r="A22" s="150" t="s">
        <v>86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71"/>
      <c r="AM22" s="71"/>
      <c r="AN22" s="7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44"/>
      <c r="DI22" s="57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</row>
    <row r="23" spans="1:164" ht="15.75">
      <c r="A23" s="63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4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S23" s="45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</row>
    <row r="24" spans="1:164" ht="21" customHeight="1">
      <c r="A24" s="134" t="s">
        <v>83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70"/>
      <c r="AM24" s="70"/>
      <c r="AN24" s="70"/>
      <c r="AO24" s="134" t="s">
        <v>77</v>
      </c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40"/>
      <c r="DR24" s="40"/>
      <c r="DS24" s="40"/>
      <c r="DT24" s="40"/>
    </row>
    <row r="25" spans="1:164" ht="21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70"/>
      <c r="AM25" s="70"/>
      <c r="AN25" s="70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40"/>
      <c r="DR25" s="40"/>
      <c r="DS25" s="40"/>
      <c r="DT25" s="40"/>
    </row>
    <row r="26" spans="1:164" s="48" customFormat="1" ht="1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70"/>
      <c r="AM26" s="70"/>
      <c r="AN26" s="70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40"/>
      <c r="DR26" s="40"/>
      <c r="DS26" s="40"/>
      <c r="DT26" s="40"/>
    </row>
    <row r="27" spans="1:164" ht="15.75">
      <c r="A27" s="65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6"/>
      <c r="CP27" s="66"/>
      <c r="CQ27" s="66"/>
      <c r="CR27" s="66"/>
      <c r="CS27" s="66"/>
      <c r="CT27" s="66"/>
      <c r="CU27" s="66"/>
      <c r="CV27" s="66"/>
      <c r="CW27" s="60"/>
      <c r="CX27" s="60"/>
      <c r="CY27" s="60"/>
      <c r="CZ27" s="60"/>
      <c r="DA27" s="60"/>
      <c r="DB27" s="60"/>
      <c r="DC27" s="60"/>
      <c r="DD27" s="60"/>
      <c r="DE27" s="60"/>
      <c r="DF27" s="62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164" ht="15.2" hidden="1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59"/>
      <c r="AP28" s="59"/>
      <c r="AQ28" s="59"/>
      <c r="AR28" s="59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40"/>
      <c r="DR28" s="40"/>
      <c r="DS28" s="40"/>
      <c r="DT28" s="40"/>
    </row>
    <row r="29" spans="1:164" ht="15.2" hidden="1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59"/>
      <c r="AP29" s="59"/>
      <c r="AQ29" s="59"/>
      <c r="AR29" s="59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40"/>
      <c r="DR29" s="40"/>
      <c r="DS29" s="40"/>
      <c r="DT29" s="40"/>
    </row>
    <row r="30" spans="1:164" ht="15.2" hidden="1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59"/>
      <c r="AP30" s="59"/>
      <c r="AQ30" s="59"/>
      <c r="AR30" s="59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40"/>
      <c r="DR30" s="40"/>
      <c r="DS30" s="40"/>
      <c r="DT30" s="40"/>
    </row>
    <row r="31" spans="1:164" ht="15" hidden="1">
      <c r="DF31" s="28"/>
    </row>
    <row r="32" spans="1:164" ht="21" customHeight="1">
      <c r="A32" s="137" t="s">
        <v>84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</row>
    <row r="33" spans="1:165" ht="13.9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</row>
    <row r="34" spans="1:165" ht="168" customHeight="1">
      <c r="A34" s="134" t="s">
        <v>152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</row>
    <row r="35" spans="1:165" s="48" customFormat="1" ht="276" customHeight="1">
      <c r="A35" s="134" t="s">
        <v>165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</row>
    <row r="36" spans="1:165" ht="373.5" customHeight="1">
      <c r="A36" s="133" t="s">
        <v>166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47"/>
      <c r="FA36" s="73"/>
      <c r="FB36" s="73"/>
      <c r="FC36" s="73"/>
      <c r="FD36" s="73"/>
      <c r="FE36" s="73"/>
      <c r="FF36" s="73"/>
      <c r="FG36" s="73"/>
      <c r="FH36" s="73"/>
      <c r="FI36" s="73"/>
    </row>
    <row r="37" spans="1:165" ht="109.5" customHeight="1">
      <c r="A37" s="134" t="s">
        <v>168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Z37" s="132" t="s">
        <v>190</v>
      </c>
    </row>
    <row r="38" spans="1:165" ht="61.5" customHeight="1">
      <c r="A38" s="133" t="s">
        <v>167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</row>
    <row r="39" spans="1:165" s="48" customFormat="1" ht="24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</row>
    <row r="40" spans="1:165" s="48" customFormat="1" ht="41.2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47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48" customFormat="1" ht="15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</row>
    <row r="42" spans="1:165" s="48" customFormat="1" ht="1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</row>
  </sheetData>
  <mergeCells count="57">
    <mergeCell ref="DJ16:DY16"/>
    <mergeCell ref="DJ17:DY17"/>
    <mergeCell ref="DJ13:DY13"/>
    <mergeCell ref="BL13:BR13"/>
    <mergeCell ref="AS13:BJ13"/>
    <mergeCell ref="DJ14:DY14"/>
    <mergeCell ref="DJ15:DY15"/>
    <mergeCell ref="G2:AM2"/>
    <mergeCell ref="G3:AM3"/>
    <mergeCell ref="G4:AM4"/>
    <mergeCell ref="G5:AM5"/>
    <mergeCell ref="A9:DS9"/>
    <mergeCell ref="G6:U6"/>
    <mergeCell ref="X6:AM6"/>
    <mergeCell ref="N7:AC7"/>
    <mergeCell ref="AD7:AF7"/>
    <mergeCell ref="AG7:AI7"/>
    <mergeCell ref="AJ7:AK7"/>
    <mergeCell ref="CD2:DS2"/>
    <mergeCell ref="CD3:DS3"/>
    <mergeCell ref="CD4:DS4"/>
    <mergeCell ref="CD5:DS5"/>
    <mergeCell ref="CD6:CU6"/>
    <mergeCell ref="A36:DU36"/>
    <mergeCell ref="DJ21:DY21"/>
    <mergeCell ref="A20:AK20"/>
    <mergeCell ref="A21:AK21"/>
    <mergeCell ref="AO20:CR20"/>
    <mergeCell ref="AO21:CR21"/>
    <mergeCell ref="DJ20:DY20"/>
    <mergeCell ref="DJ22:DY22"/>
    <mergeCell ref="A22:AK22"/>
    <mergeCell ref="A24:AK26"/>
    <mergeCell ref="AO22:CR22"/>
    <mergeCell ref="AO24:CR26"/>
    <mergeCell ref="DL7:DO7"/>
    <mergeCell ref="CI7:CL7"/>
    <mergeCell ref="CP7:DH7"/>
    <mergeCell ref="A35:DU35"/>
    <mergeCell ref="A28:AN30"/>
    <mergeCell ref="AS28:DP30"/>
    <mergeCell ref="A32:DU32"/>
    <mergeCell ref="A34:DU34"/>
    <mergeCell ref="DJ18:DY18"/>
    <mergeCell ref="A16:AK18"/>
    <mergeCell ref="AO16:CR18"/>
    <mergeCell ref="DJ19:DY19"/>
    <mergeCell ref="DI7:DK7"/>
    <mergeCell ref="DJ11:DY11"/>
    <mergeCell ref="DJ12:DY12"/>
    <mergeCell ref="AD13:AG13"/>
    <mergeCell ref="A42:DU42"/>
    <mergeCell ref="A37:DU37"/>
    <mergeCell ref="A38:DU38"/>
    <mergeCell ref="A39:DU39"/>
    <mergeCell ref="A40:DU40"/>
    <mergeCell ref="A41:DU41"/>
  </mergeCells>
  <pageMargins left="0.70866141732283472" right="0.11" top="0.23" bottom="0.18" header="0.19" footer="0.15"/>
  <pageSetup paperSize="9" scale="71" orientation="portrait" r:id="rId1"/>
  <rowBreaks count="1" manualBreakCount="1">
    <brk id="35" max="128" man="1"/>
  </rowBreaks>
  <colBreaks count="1" manualBreakCount="1">
    <brk id="12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view="pageBreakPreview" zoomScale="77" zoomScaleNormal="100" zoomScaleSheetLayoutView="77" workbookViewId="0">
      <selection activeCell="E12" sqref="E12"/>
    </sheetView>
  </sheetViews>
  <sheetFormatPr defaultRowHeight="24" customHeight="1"/>
  <cols>
    <col min="2" max="2" width="67.85546875" customWidth="1"/>
    <col min="3" max="3" width="27.140625" customWidth="1"/>
    <col min="4" max="4" width="42.140625" customWidth="1"/>
  </cols>
  <sheetData>
    <row r="1" spans="1:4" ht="24" customHeight="1">
      <c r="A1" s="163" t="s">
        <v>87</v>
      </c>
      <c r="B1" s="163"/>
      <c r="C1" s="163"/>
      <c r="D1" s="19" t="s">
        <v>190</v>
      </c>
    </row>
    <row r="2" spans="1:4" ht="24" customHeight="1">
      <c r="A2" s="164" t="s">
        <v>153</v>
      </c>
      <c r="B2" s="164"/>
      <c r="C2" s="164"/>
    </row>
    <row r="3" spans="1:4" ht="24" customHeight="1">
      <c r="A3" s="75"/>
    </row>
    <row r="4" spans="1:4" ht="24" customHeight="1">
      <c r="A4" s="77" t="s">
        <v>88</v>
      </c>
      <c r="B4" s="77" t="s">
        <v>0</v>
      </c>
      <c r="C4" s="77" t="s">
        <v>89</v>
      </c>
    </row>
    <row r="5" spans="1:4" ht="19.5" customHeight="1">
      <c r="A5" s="77">
        <v>1</v>
      </c>
      <c r="B5" s="77">
        <v>2</v>
      </c>
      <c r="C5" s="77">
        <v>3</v>
      </c>
    </row>
    <row r="6" spans="1:4" ht="24" customHeight="1">
      <c r="A6" s="78"/>
      <c r="B6" s="100" t="s">
        <v>90</v>
      </c>
      <c r="C6" s="101">
        <f>24227001.43/1000</f>
        <v>24227.00143</v>
      </c>
    </row>
    <row r="7" spans="1:4" ht="24" customHeight="1">
      <c r="A7" s="78"/>
      <c r="B7" s="80" t="s">
        <v>91</v>
      </c>
      <c r="C7" s="98">
        <f>20492025.28/1000</f>
        <v>20492.025280000002</v>
      </c>
    </row>
    <row r="8" spans="1:4" ht="24" customHeight="1">
      <c r="A8" s="78"/>
      <c r="B8" s="81" t="s">
        <v>4</v>
      </c>
      <c r="C8" s="98"/>
    </row>
    <row r="9" spans="1:4" ht="24" customHeight="1">
      <c r="A9" s="78"/>
      <c r="B9" s="81" t="s">
        <v>92</v>
      </c>
      <c r="C9" s="98">
        <f>13973563.196/1000</f>
        <v>13973.563196000001</v>
      </c>
    </row>
    <row r="10" spans="1:4" ht="24" customHeight="1">
      <c r="A10" s="78"/>
      <c r="B10" s="82" t="s">
        <v>93</v>
      </c>
      <c r="C10" s="98">
        <f>3366924.47/1000</f>
        <v>3366.9244700000004</v>
      </c>
    </row>
    <row r="11" spans="1:4" ht="24" customHeight="1">
      <c r="A11" s="78"/>
      <c r="B11" s="81" t="s">
        <v>4</v>
      </c>
      <c r="C11" s="98"/>
    </row>
    <row r="12" spans="1:4" ht="24" customHeight="1">
      <c r="A12" s="78"/>
      <c r="B12" s="81" t="s">
        <v>92</v>
      </c>
      <c r="C12" s="99">
        <f>345527.67/1000</f>
        <v>345.52767</v>
      </c>
    </row>
    <row r="13" spans="1:4" ht="24" customHeight="1">
      <c r="A13" s="78"/>
      <c r="B13" s="100" t="s">
        <v>94</v>
      </c>
      <c r="C13" s="101">
        <f>C14+C18+C19+C20</f>
        <v>478.17179999999996</v>
      </c>
    </row>
    <row r="14" spans="1:4" ht="24" customHeight="1">
      <c r="A14" s="78"/>
      <c r="B14" s="80" t="s">
        <v>95</v>
      </c>
      <c r="C14" s="98">
        <f>C16+C17</f>
        <v>109.34247000000001</v>
      </c>
    </row>
    <row r="15" spans="1:4" ht="24" customHeight="1">
      <c r="A15" s="78"/>
      <c r="B15" s="83" t="s">
        <v>4</v>
      </c>
      <c r="C15" s="98"/>
    </row>
    <row r="16" spans="1:4" ht="24" customHeight="1">
      <c r="A16" s="78"/>
      <c r="B16" s="83" t="s">
        <v>96</v>
      </c>
      <c r="C16" s="98">
        <f>109342.47/1000</f>
        <v>109.34247000000001</v>
      </c>
    </row>
    <row r="17" spans="1:3" ht="33" customHeight="1">
      <c r="A17" s="78"/>
      <c r="B17" s="83" t="s">
        <v>97</v>
      </c>
      <c r="C17" s="98">
        <v>0</v>
      </c>
    </row>
    <row r="18" spans="1:3" ht="24" customHeight="1">
      <c r="A18" s="78"/>
      <c r="B18" s="80" t="s">
        <v>98</v>
      </c>
      <c r="C18" s="98">
        <v>0</v>
      </c>
    </row>
    <row r="19" spans="1:3" ht="24" customHeight="1">
      <c r="A19" s="78"/>
      <c r="B19" s="80" t="s">
        <v>99</v>
      </c>
      <c r="C19" s="98">
        <f>(342217.59-7727.25)/1000</f>
        <v>334.49034</v>
      </c>
    </row>
    <row r="20" spans="1:3" ht="24" customHeight="1">
      <c r="A20" s="78"/>
      <c r="B20" s="80" t="s">
        <v>100</v>
      </c>
      <c r="C20" s="98">
        <f>(34338.99)/1000</f>
        <v>34.338989999999995</v>
      </c>
    </row>
    <row r="21" spans="1:3" ht="24" customHeight="1">
      <c r="A21" s="78"/>
      <c r="B21" s="100" t="s">
        <v>101</v>
      </c>
      <c r="C21" s="101">
        <f>C23+C24</f>
        <v>75.83865999999999</v>
      </c>
    </row>
    <row r="22" spans="1:3" ht="24" customHeight="1">
      <c r="A22" s="78"/>
      <c r="B22" s="80" t="s">
        <v>16</v>
      </c>
      <c r="C22" s="98"/>
    </row>
    <row r="23" spans="1:3" ht="24" customHeight="1">
      <c r="A23" s="78"/>
      <c r="B23" s="80" t="s">
        <v>102</v>
      </c>
      <c r="C23" s="98">
        <v>0</v>
      </c>
    </row>
    <row r="24" spans="1:3" ht="24" customHeight="1">
      <c r="A24" s="78"/>
      <c r="B24" s="80" t="s">
        <v>103</v>
      </c>
      <c r="C24" s="98">
        <f>(39665.15+47013.97+1274.64-12115.1)/1000</f>
        <v>75.83865999999999</v>
      </c>
    </row>
    <row r="25" spans="1:3" ht="24" customHeight="1">
      <c r="A25" s="78"/>
      <c r="B25" s="81" t="s">
        <v>4</v>
      </c>
      <c r="C25" s="98"/>
    </row>
    <row r="26" spans="1:3" ht="24" customHeight="1">
      <c r="A26" s="78"/>
      <c r="B26" s="81" t="s">
        <v>104</v>
      </c>
      <c r="C26" s="98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K48"/>
  <sheetViews>
    <sheetView view="pageBreakPreview" zoomScaleNormal="71" zoomScaleSheetLayoutView="100" workbookViewId="0">
      <pane ySplit="7" topLeftCell="A29" activePane="bottomLeft" state="frozen"/>
      <selection pane="bottomLeft" activeCell="AZ45" sqref="AZ45"/>
    </sheetView>
  </sheetViews>
  <sheetFormatPr defaultRowHeight="10.15" customHeight="1"/>
  <cols>
    <col min="1" max="49" width="0.28515625" customWidth="1"/>
    <col min="50" max="50" width="10.5703125" customWidth="1"/>
    <col min="51" max="51" width="6.7109375" customWidth="1"/>
    <col min="52" max="52" width="8.7109375" customWidth="1"/>
    <col min="53" max="53" width="13.5703125" customWidth="1"/>
    <col min="54" max="54" width="13.42578125" customWidth="1"/>
    <col min="55" max="55" width="15.140625" customWidth="1"/>
    <col min="56" max="56" width="12.140625" customWidth="1"/>
    <col min="57" max="57" width="11.140625" customWidth="1"/>
    <col min="58" max="58" width="9.7109375" customWidth="1"/>
    <col min="59" max="59" width="15.140625" style="109" customWidth="1"/>
  </cols>
  <sheetData>
    <row r="1" spans="1:63" ht="12.75"/>
    <row r="2" spans="1:63" ht="21" customHeight="1">
      <c r="A2" s="175" t="s">
        <v>154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1:6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2"/>
      <c r="BD3" s="2"/>
      <c r="BE3" s="2"/>
      <c r="BF3" s="2"/>
    </row>
    <row r="4" spans="1:63" ht="12.75" customHeight="1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5"/>
      <c r="AY4" s="192" t="s">
        <v>1</v>
      </c>
      <c r="AZ4" s="195" t="s">
        <v>2</v>
      </c>
      <c r="BA4" s="176" t="s">
        <v>3</v>
      </c>
      <c r="BB4" s="177"/>
      <c r="BC4" s="177"/>
      <c r="BD4" s="177"/>
      <c r="BE4" s="177"/>
      <c r="BF4" s="177"/>
    </row>
    <row r="5" spans="1:63" ht="12.7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8"/>
      <c r="AY5" s="193"/>
      <c r="AZ5" s="181"/>
      <c r="BA5" s="180" t="s">
        <v>30</v>
      </c>
      <c r="BB5" s="194" t="s">
        <v>4</v>
      </c>
      <c r="BC5" s="194"/>
      <c r="BD5" s="194"/>
      <c r="BE5" s="194"/>
      <c r="BF5" s="194"/>
    </row>
    <row r="6" spans="1:63" ht="61.5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/>
      <c r="AY6" s="193"/>
      <c r="AZ6" s="181"/>
      <c r="BA6" s="181"/>
      <c r="BB6" s="179" t="s">
        <v>5</v>
      </c>
      <c r="BC6" s="179" t="s">
        <v>6</v>
      </c>
      <c r="BD6" s="179" t="s">
        <v>7</v>
      </c>
      <c r="BE6" s="179" t="s">
        <v>8</v>
      </c>
      <c r="BF6" s="179"/>
      <c r="BH6" s="48"/>
    </row>
    <row r="7" spans="1:63" ht="30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194"/>
      <c r="AZ7" s="182"/>
      <c r="BA7" s="182"/>
      <c r="BB7" s="179"/>
      <c r="BC7" s="179"/>
      <c r="BD7" s="179"/>
      <c r="BE7" s="3" t="s">
        <v>9</v>
      </c>
      <c r="BF7" s="3" t="s">
        <v>10</v>
      </c>
      <c r="BK7" s="19" t="s">
        <v>164</v>
      </c>
    </row>
    <row r="8" spans="1:63" ht="11.1" customHeight="1">
      <c r="A8" s="176">
        <v>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5">
        <v>2</v>
      </c>
      <c r="AZ8" s="95">
        <v>3</v>
      </c>
      <c r="BA8" s="95">
        <v>4</v>
      </c>
      <c r="BB8" s="4">
        <v>5</v>
      </c>
      <c r="BC8" s="4">
        <v>6</v>
      </c>
      <c r="BD8" s="4">
        <v>7</v>
      </c>
      <c r="BE8" s="3">
        <v>8</v>
      </c>
      <c r="BF8" s="3">
        <v>9</v>
      </c>
    </row>
    <row r="9" spans="1:63" ht="23.25" customHeight="1">
      <c r="A9" s="6"/>
      <c r="B9" s="198" t="s">
        <v>31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200"/>
      <c r="AY9" s="21">
        <v>100</v>
      </c>
      <c r="AZ9" s="22" t="s">
        <v>32</v>
      </c>
      <c r="BA9" s="114">
        <f>BA10+BA12+BA13+BA14+BA15+BA16+BA17</f>
        <v>16693615.949999999</v>
      </c>
      <c r="BB9" s="114">
        <f>BB12</f>
        <v>12801639.389999999</v>
      </c>
      <c r="BC9" s="114">
        <f>BC15</f>
        <v>3113320</v>
      </c>
      <c r="BD9" s="114">
        <f>BD15</f>
        <v>0</v>
      </c>
      <c r="BE9" s="114">
        <f>BE10+BE12+BE13+BE14+BE16+BE17</f>
        <v>778656.56</v>
      </c>
      <c r="BF9" s="114">
        <f>BF12+BF16</f>
        <v>0</v>
      </c>
      <c r="BG9" s="110">
        <f>16687615.95-BA9</f>
        <v>-6000</v>
      </c>
    </row>
    <row r="10" spans="1:63" ht="21.75" customHeight="1">
      <c r="A10" s="8"/>
      <c r="B10" s="172" t="s">
        <v>58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  <c r="AY10" s="9">
        <v>110</v>
      </c>
      <c r="AZ10" s="22" t="s">
        <v>13</v>
      </c>
      <c r="BA10" s="116">
        <f>BE10</f>
        <v>150656.56</v>
      </c>
      <c r="BB10" s="107" t="s">
        <v>32</v>
      </c>
      <c r="BC10" s="107" t="s">
        <v>32</v>
      </c>
      <c r="BD10" s="107" t="s">
        <v>32</v>
      </c>
      <c r="BE10" s="108">
        <v>150656.56</v>
      </c>
      <c r="BF10" s="107" t="s">
        <v>32</v>
      </c>
      <c r="BG10" s="111" t="s">
        <v>33</v>
      </c>
    </row>
    <row r="11" spans="1:63" ht="13.5" customHeight="1">
      <c r="A11" s="8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8"/>
      <c r="AY11" s="9"/>
      <c r="AZ11" s="96"/>
      <c r="BA11" s="116"/>
      <c r="BB11" s="108"/>
      <c r="BC11" s="108"/>
      <c r="BD11" s="108"/>
      <c r="BE11" s="108"/>
      <c r="BF11" s="108"/>
    </row>
    <row r="12" spans="1:63" ht="12.75">
      <c r="A12" s="8"/>
      <c r="B12" s="172" t="s">
        <v>37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  <c r="AY12" s="9">
        <v>120</v>
      </c>
      <c r="AZ12" s="22" t="s">
        <v>15</v>
      </c>
      <c r="BA12" s="116">
        <f>BB12+BE12+BF12</f>
        <v>13268639.389999999</v>
      </c>
      <c r="BB12" s="108">
        <f>10960722.94+42916.45+1798000</f>
        <v>12801639.389999999</v>
      </c>
      <c r="BC12" s="107" t="s">
        <v>32</v>
      </c>
      <c r="BD12" s="107" t="s">
        <v>32</v>
      </c>
      <c r="BE12" s="108">
        <f>73000+394000</f>
        <v>467000</v>
      </c>
      <c r="BF12" s="108">
        <v>0</v>
      </c>
      <c r="BG12" s="111" t="s">
        <v>42</v>
      </c>
    </row>
    <row r="13" spans="1:63" ht="24" customHeight="1">
      <c r="A13" s="8"/>
      <c r="B13" s="172" t="s">
        <v>36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  <c r="AY13" s="9">
        <v>130</v>
      </c>
      <c r="AZ13" s="96" t="s">
        <v>14</v>
      </c>
      <c r="BA13" s="116">
        <f>BE13</f>
        <v>6000</v>
      </c>
      <c r="BB13" s="107" t="s">
        <v>32</v>
      </c>
      <c r="BC13" s="107" t="s">
        <v>32</v>
      </c>
      <c r="BD13" s="107" t="s">
        <v>32</v>
      </c>
      <c r="BE13" s="120">
        <v>6000</v>
      </c>
      <c r="BF13" s="107" t="s">
        <v>32</v>
      </c>
      <c r="BG13" s="111" t="s">
        <v>34</v>
      </c>
    </row>
    <row r="14" spans="1:63" ht="56.25" customHeight="1">
      <c r="A14" s="8"/>
      <c r="B14" s="172" t="s">
        <v>35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9">
        <v>140</v>
      </c>
      <c r="AZ14" s="22" t="s">
        <v>43</v>
      </c>
      <c r="BA14" s="116">
        <f>BE14</f>
        <v>0</v>
      </c>
      <c r="BB14" s="107" t="s">
        <v>32</v>
      </c>
      <c r="BC14" s="107" t="s">
        <v>32</v>
      </c>
      <c r="BD14" s="107" t="s">
        <v>32</v>
      </c>
      <c r="BE14" s="107">
        <v>0</v>
      </c>
      <c r="BF14" s="107" t="s">
        <v>32</v>
      </c>
    </row>
    <row r="15" spans="1:63" ht="26.25" customHeight="1">
      <c r="A15" s="8"/>
      <c r="B15" s="172" t="s">
        <v>38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8"/>
      <c r="AY15" s="9">
        <v>150</v>
      </c>
      <c r="AZ15" s="22" t="s">
        <v>12</v>
      </c>
      <c r="BA15" s="116">
        <f>BC15+BD15</f>
        <v>3113320</v>
      </c>
      <c r="BB15" s="107" t="s">
        <v>32</v>
      </c>
      <c r="BC15" s="108">
        <v>3113320</v>
      </c>
      <c r="BD15" s="108">
        <v>0</v>
      </c>
      <c r="BE15" s="107" t="s">
        <v>32</v>
      </c>
      <c r="BF15" s="107" t="s">
        <v>32</v>
      </c>
      <c r="BG15" s="111" t="s">
        <v>44</v>
      </c>
    </row>
    <row r="16" spans="1:63" ht="13.5" customHeight="1">
      <c r="A16" s="8"/>
      <c r="B16" s="172" t="s">
        <v>39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8"/>
      <c r="AY16" s="9">
        <v>160</v>
      </c>
      <c r="AZ16" s="96" t="s">
        <v>12</v>
      </c>
      <c r="BA16" s="116">
        <f>BE16</f>
        <v>155000</v>
      </c>
      <c r="BB16" s="107" t="s">
        <v>32</v>
      </c>
      <c r="BC16" s="107" t="s">
        <v>32</v>
      </c>
      <c r="BD16" s="107" t="s">
        <v>32</v>
      </c>
      <c r="BE16" s="108">
        <f>60000+95000</f>
        <v>155000</v>
      </c>
      <c r="BF16" s="108">
        <v>0</v>
      </c>
      <c r="BG16" s="111" t="s">
        <v>40</v>
      </c>
    </row>
    <row r="17" spans="1:59" ht="18" customHeight="1">
      <c r="A17" s="8"/>
      <c r="B17" s="172" t="s">
        <v>41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Y17" s="9">
        <v>180</v>
      </c>
      <c r="AZ17" s="22" t="s">
        <v>59</v>
      </c>
      <c r="BA17" s="116">
        <f>BE17</f>
        <v>0</v>
      </c>
      <c r="BB17" s="107" t="s">
        <v>32</v>
      </c>
      <c r="BC17" s="107" t="s">
        <v>32</v>
      </c>
      <c r="BD17" s="107" t="s">
        <v>32</v>
      </c>
      <c r="BE17" s="108">
        <v>0</v>
      </c>
      <c r="BF17" s="107">
        <v>0</v>
      </c>
    </row>
    <row r="18" spans="1:59" s="14" customFormat="1" ht="12" customHeight="1">
      <c r="A18" s="20"/>
      <c r="B18" s="172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17"/>
      <c r="AZ18" s="22"/>
      <c r="BA18" s="116"/>
      <c r="BB18" s="107"/>
      <c r="BC18" s="107"/>
      <c r="BD18" s="107"/>
      <c r="BE18" s="108"/>
      <c r="BF18" s="108"/>
      <c r="BG18" s="109"/>
    </row>
    <row r="19" spans="1:59" ht="25.5" customHeight="1">
      <c r="A19" s="6"/>
      <c r="B19" s="198" t="s">
        <v>45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200"/>
      <c r="AY19" s="21">
        <v>200</v>
      </c>
      <c r="AZ19" s="22" t="s">
        <v>32</v>
      </c>
      <c r="BA19" s="114">
        <f>BA20+BA26+BA29+BA34+BA36+BA37</f>
        <v>16755812.820000002</v>
      </c>
      <c r="BB19" s="114">
        <f>BB20+BB26+BB29+BB34+BB36+BB37</f>
        <v>12801639.390000001</v>
      </c>
      <c r="BC19" s="114">
        <f t="shared" ref="BC19:BE19" si="0">BC20+BC26+BC29+BC34+BC36+BC37</f>
        <v>3113364.4</v>
      </c>
      <c r="BD19" s="114">
        <f t="shared" si="0"/>
        <v>0</v>
      </c>
      <c r="BE19" s="114">
        <f t="shared" si="0"/>
        <v>840809.03</v>
      </c>
      <c r="BF19" s="114">
        <f>BF20+BF26+BF29+BF34+BF36+BF37</f>
        <v>0</v>
      </c>
      <c r="BG19" s="113">
        <f>16749812.82+6000-BA19</f>
        <v>0</v>
      </c>
    </row>
    <row r="20" spans="1:59" ht="36" customHeight="1">
      <c r="A20" s="8"/>
      <c r="B20" s="174" t="s">
        <v>46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1"/>
      <c r="AY20" s="23">
        <v>210</v>
      </c>
      <c r="AZ20" s="96"/>
      <c r="BA20" s="116">
        <f>BA21+BA24+BA25</f>
        <v>10596750.450000001</v>
      </c>
      <c r="BB20" s="115">
        <f t="shared" ref="BB20:BF20" si="1">BB21+BB24+BB25</f>
        <v>10318590</v>
      </c>
      <c r="BC20" s="115">
        <f t="shared" si="1"/>
        <v>34364.400000000001</v>
      </c>
      <c r="BD20" s="115">
        <f t="shared" si="1"/>
        <v>0</v>
      </c>
      <c r="BE20" s="115">
        <f t="shared" si="1"/>
        <v>243796.05</v>
      </c>
      <c r="BF20" s="115">
        <f t="shared" si="1"/>
        <v>0</v>
      </c>
    </row>
    <row r="21" spans="1:59" ht="35.25" customHeight="1">
      <c r="A21" s="8"/>
      <c r="B21" s="174" t="s">
        <v>47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1"/>
      <c r="AY21" s="23">
        <v>211</v>
      </c>
      <c r="AZ21" s="22"/>
      <c r="BA21" s="116">
        <f>BA22+BA23</f>
        <v>10382462.310000001</v>
      </c>
      <c r="BB21" s="115">
        <f t="shared" ref="BB21:BF21" si="2">BB22+BB23</f>
        <v>10173090</v>
      </c>
      <c r="BC21" s="115">
        <f t="shared" si="2"/>
        <v>0</v>
      </c>
      <c r="BD21" s="115">
        <f t="shared" si="2"/>
        <v>0</v>
      </c>
      <c r="BE21" s="115">
        <f>BE22+BE23</f>
        <v>209372.31</v>
      </c>
      <c r="BF21" s="115">
        <f t="shared" si="2"/>
        <v>0</v>
      </c>
    </row>
    <row r="22" spans="1:59" ht="12.75">
      <c r="A22" s="10"/>
      <c r="B22" s="11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9"/>
      <c r="AZ22" s="22" t="s">
        <v>19</v>
      </c>
      <c r="BA22" s="116">
        <f>BB22+BC22+BD22+BE22</f>
        <v>8016447</v>
      </c>
      <c r="BB22" s="108">
        <f>6467667+1388000</f>
        <v>7855667</v>
      </c>
      <c r="BC22" s="108">
        <v>0</v>
      </c>
      <c r="BD22" s="108">
        <v>0</v>
      </c>
      <c r="BE22" s="108">
        <v>160780</v>
      </c>
      <c r="BF22" s="108">
        <v>0</v>
      </c>
    </row>
    <row r="23" spans="1:59" ht="12.75">
      <c r="A23" s="12"/>
      <c r="B23" s="13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  <c r="AY23" s="9"/>
      <c r="AZ23" s="22" t="s">
        <v>20</v>
      </c>
      <c r="BA23" s="116">
        <f>BB23+BC23+BD23+BE23</f>
        <v>2366015.31</v>
      </c>
      <c r="BB23" s="108">
        <f>1907423+410000</f>
        <v>2317423</v>
      </c>
      <c r="BC23" s="108">
        <v>0</v>
      </c>
      <c r="BD23" s="108">
        <v>0</v>
      </c>
      <c r="BE23" s="108">
        <v>48592.31</v>
      </c>
      <c r="BF23" s="108">
        <v>0</v>
      </c>
    </row>
    <row r="24" spans="1:59" ht="12.75">
      <c r="A24" s="12"/>
      <c r="B24" s="13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8"/>
      <c r="AY24" s="9"/>
      <c r="AZ24" s="22" t="s">
        <v>18</v>
      </c>
      <c r="BA24" s="116">
        <f>BB24+BC24+BD24+BE24</f>
        <v>86890.240000000005</v>
      </c>
      <c r="BB24" s="108">
        <f>18102.1</f>
        <v>18102.099999999999</v>
      </c>
      <c r="BC24" s="108">
        <f>34320+44.4</f>
        <v>34364.400000000001</v>
      </c>
      <c r="BD24" s="108">
        <v>0</v>
      </c>
      <c r="BE24" s="108">
        <f>27423.74+7000</f>
        <v>34423.740000000005</v>
      </c>
      <c r="BF24" s="108">
        <v>0</v>
      </c>
    </row>
    <row r="25" spans="1:59" ht="12.75">
      <c r="A25" s="12"/>
      <c r="B25" s="13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8"/>
      <c r="AY25" s="9"/>
      <c r="AZ25" s="22" t="s">
        <v>24</v>
      </c>
      <c r="BA25" s="116">
        <f>BB25+BC25+BD25+BE25</f>
        <v>127397.9</v>
      </c>
      <c r="BB25" s="108">
        <v>127397.9</v>
      </c>
      <c r="BC25" s="108">
        <v>0</v>
      </c>
      <c r="BD25" s="108">
        <v>0</v>
      </c>
      <c r="BE25" s="108">
        <v>0</v>
      </c>
      <c r="BF25" s="108">
        <v>0</v>
      </c>
    </row>
    <row r="26" spans="1:59" ht="33" customHeight="1">
      <c r="A26" s="8"/>
      <c r="B26" s="174" t="s">
        <v>48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1"/>
      <c r="AY26" s="23">
        <v>220</v>
      </c>
      <c r="AZ26" s="96"/>
      <c r="BA26" s="116">
        <f>BA28</f>
        <v>0</v>
      </c>
      <c r="BB26" s="115">
        <f t="shared" ref="BB26:BF26" si="3">BB28</f>
        <v>0</v>
      </c>
      <c r="BC26" s="115">
        <f t="shared" si="3"/>
        <v>0</v>
      </c>
      <c r="BD26" s="115">
        <f t="shared" si="3"/>
        <v>0</v>
      </c>
      <c r="BE26" s="115">
        <f t="shared" si="3"/>
        <v>0</v>
      </c>
      <c r="BF26" s="115">
        <f t="shared" si="3"/>
        <v>0</v>
      </c>
    </row>
    <row r="27" spans="1:59" ht="12.75">
      <c r="A27" s="10"/>
      <c r="B27" s="11"/>
      <c r="C27" s="167" t="s">
        <v>16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8"/>
      <c r="AY27" s="9"/>
      <c r="AZ27" s="96"/>
      <c r="BA27" s="116"/>
      <c r="BB27" s="108"/>
      <c r="BC27" s="108"/>
      <c r="BD27" s="108"/>
      <c r="BE27" s="108"/>
      <c r="BF27" s="108"/>
    </row>
    <row r="28" spans="1:59" ht="12.75">
      <c r="A28" s="12"/>
      <c r="B28" s="13"/>
      <c r="C28" s="17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9"/>
      <c r="AZ28" s="22" t="s">
        <v>21</v>
      </c>
      <c r="BA28" s="116">
        <f>BB28+BC28+BD28+BE28</f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</row>
    <row r="29" spans="1:59" ht="21.95" customHeight="1">
      <c r="A29" s="12"/>
      <c r="B29" s="13"/>
      <c r="C29" s="174" t="s">
        <v>49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23">
        <v>230</v>
      </c>
      <c r="AZ29" s="96"/>
      <c r="BA29" s="116">
        <f>BA31+BA32+BA33</f>
        <v>229045</v>
      </c>
      <c r="BB29" s="115">
        <f>BB31+BB32+BB33</f>
        <v>225045</v>
      </c>
      <c r="BC29" s="115">
        <f t="shared" ref="BC29:BE29" si="4">BC31+BC32+BC33</f>
        <v>0</v>
      </c>
      <c r="BD29" s="115">
        <f t="shared" si="4"/>
        <v>0</v>
      </c>
      <c r="BE29" s="115">
        <f t="shared" si="4"/>
        <v>4000</v>
      </c>
      <c r="BF29" s="115">
        <f>BF31+BF32+BF33</f>
        <v>0</v>
      </c>
    </row>
    <row r="30" spans="1:59" ht="10.5" customHeight="1">
      <c r="A30" s="12"/>
      <c r="B30" s="13"/>
      <c r="C30" s="167" t="s">
        <v>16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8"/>
      <c r="AY30" s="9"/>
      <c r="AZ30" s="96"/>
      <c r="BA30" s="116"/>
      <c r="BB30" s="108"/>
      <c r="BC30" s="108"/>
      <c r="BD30" s="108"/>
      <c r="BE30" s="108"/>
      <c r="BF30" s="108"/>
    </row>
    <row r="31" spans="1:59" ht="12.75">
      <c r="A31" s="8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8"/>
      <c r="AY31" s="9"/>
      <c r="AZ31" s="22" t="s">
        <v>25</v>
      </c>
      <c r="BA31" s="116">
        <f>BB31+BC31+BD31+BE31</f>
        <v>211419</v>
      </c>
      <c r="BB31" s="108">
        <v>211419</v>
      </c>
      <c r="BC31" s="108">
        <v>0</v>
      </c>
      <c r="BD31" s="108">
        <v>0</v>
      </c>
      <c r="BE31" s="108">
        <v>0</v>
      </c>
      <c r="BF31" s="108">
        <v>0</v>
      </c>
    </row>
    <row r="32" spans="1:59" ht="12.75">
      <c r="A32" s="10"/>
      <c r="B32" s="1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8"/>
      <c r="AY32" s="9"/>
      <c r="AZ32" s="22" t="s">
        <v>22</v>
      </c>
      <c r="BA32" s="116">
        <f>BB32+BC32+BD32+BE32</f>
        <v>13626</v>
      </c>
      <c r="BB32" s="108">
        <f>2572+11054</f>
        <v>13626</v>
      </c>
      <c r="BC32" s="108">
        <v>0</v>
      </c>
      <c r="BD32" s="108">
        <v>0</v>
      </c>
      <c r="BE32" s="108">
        <v>0</v>
      </c>
      <c r="BF32" s="108">
        <v>0</v>
      </c>
    </row>
    <row r="33" spans="1:59" ht="12.75">
      <c r="A33" s="12"/>
      <c r="B33" s="16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8"/>
      <c r="AY33" s="9"/>
      <c r="AZ33" s="22" t="s">
        <v>23</v>
      </c>
      <c r="BA33" s="116">
        <f t="shared" ref="BA33" si="5">BB33+BC33+BD33+BE33</f>
        <v>4000</v>
      </c>
      <c r="BB33" s="108">
        <v>0</v>
      </c>
      <c r="BC33" s="108">
        <v>0</v>
      </c>
      <c r="BD33" s="108">
        <v>0</v>
      </c>
      <c r="BE33" s="108">
        <v>4000</v>
      </c>
      <c r="BF33" s="108">
        <v>0</v>
      </c>
    </row>
    <row r="34" spans="1:59" ht="23.25" customHeight="1">
      <c r="A34" s="12"/>
      <c r="B34" s="13"/>
      <c r="C34" s="174" t="s">
        <v>50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/>
      <c r="AY34" s="23">
        <v>240</v>
      </c>
      <c r="AZ34" s="96"/>
      <c r="BA34" s="116"/>
      <c r="BB34" s="115"/>
      <c r="BC34" s="115"/>
      <c r="BD34" s="115"/>
      <c r="BE34" s="115"/>
      <c r="BF34" s="115"/>
    </row>
    <row r="35" spans="1:59" ht="11.1" customHeight="1">
      <c r="A35" s="12"/>
      <c r="B35" s="13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8"/>
      <c r="AY35" s="9"/>
      <c r="AZ35" s="96"/>
      <c r="BA35" s="116"/>
      <c r="BB35" s="108"/>
      <c r="BC35" s="108"/>
      <c r="BD35" s="108"/>
      <c r="BE35" s="108"/>
      <c r="BF35" s="108"/>
    </row>
    <row r="36" spans="1:59" ht="23.25" customHeight="1">
      <c r="A36" s="12"/>
      <c r="B36" s="13"/>
      <c r="C36" s="174" t="s">
        <v>51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1"/>
      <c r="AY36" s="23">
        <v>250</v>
      </c>
      <c r="AZ36" s="22" t="s">
        <v>61</v>
      </c>
      <c r="BA36" s="116">
        <f>BD36</f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11" t="s">
        <v>62</v>
      </c>
    </row>
    <row r="37" spans="1:59" ht="32.25" customHeight="1">
      <c r="A37" s="8"/>
      <c r="B37" s="174" t="s">
        <v>60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23">
        <v>260</v>
      </c>
      <c r="AZ37" s="22" t="s">
        <v>17</v>
      </c>
      <c r="BA37" s="116">
        <f>BB37+BC37+BD37+BE37</f>
        <v>5930017.370000001</v>
      </c>
      <c r="BB37" s="115">
        <f>55302.97+1067025.17+613824.44+53423.94+212237.57+75377.2+137896.65+23684+13696+5536.45</f>
        <v>2258004.39</v>
      </c>
      <c r="BC37" s="115">
        <f>2662000+417000</f>
        <v>3079000</v>
      </c>
      <c r="BD37" s="115">
        <v>0</v>
      </c>
      <c r="BE37" s="115">
        <f>22164+13000+9000+2000+119117.37+9865.63+244.75+14532+60000+15000+25000+16000+40147+12000+72411.41+2160+10000+16823+81666.82+45881+6000</f>
        <v>593012.98</v>
      </c>
      <c r="BF37" s="115">
        <v>0</v>
      </c>
    </row>
    <row r="38" spans="1:59" ht="12.75">
      <c r="A38" s="10"/>
      <c r="B38" s="1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9"/>
      <c r="AZ38" s="96"/>
      <c r="BA38" s="116"/>
      <c r="BB38" s="108"/>
      <c r="BC38" s="108"/>
      <c r="BD38" s="108"/>
      <c r="BE38" s="108"/>
      <c r="BF38" s="108"/>
    </row>
    <row r="39" spans="1:59" ht="11.1" customHeight="1">
      <c r="A39" s="12"/>
      <c r="B39" s="13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8"/>
      <c r="AY39" s="9"/>
      <c r="AZ39" s="96"/>
      <c r="BA39" s="116"/>
      <c r="BB39" s="108"/>
      <c r="BC39" s="108"/>
      <c r="BD39" s="108"/>
      <c r="BE39" s="108"/>
      <c r="BF39" s="108"/>
    </row>
    <row r="40" spans="1:59" ht="22.5" customHeight="1">
      <c r="A40" s="8"/>
      <c r="B40" s="172" t="s">
        <v>52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8"/>
      <c r="AY40" s="9">
        <v>300</v>
      </c>
      <c r="AZ40" s="22" t="s">
        <v>32</v>
      </c>
      <c r="BA40" s="116">
        <f t="shared" ref="BA40:BA45" si="6">BB40+BC40+BD40+BF40</f>
        <v>0</v>
      </c>
      <c r="BB40" s="108"/>
      <c r="BC40" s="108"/>
      <c r="BD40" s="108"/>
      <c r="BE40" s="108"/>
      <c r="BF40" s="108"/>
    </row>
    <row r="41" spans="1:59" ht="25.5" customHeight="1">
      <c r="A41" s="10"/>
      <c r="B41" s="11"/>
      <c r="C41" s="172" t="s">
        <v>53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8"/>
      <c r="AY41" s="9">
        <v>310</v>
      </c>
      <c r="AZ41" s="96"/>
      <c r="BA41" s="116">
        <f t="shared" si="6"/>
        <v>0</v>
      </c>
      <c r="BB41" s="108"/>
      <c r="BC41" s="108"/>
      <c r="BD41" s="108"/>
      <c r="BE41" s="108"/>
      <c r="BF41" s="108"/>
    </row>
    <row r="42" spans="1:59" s="14" customFormat="1" ht="14.25" customHeight="1">
      <c r="A42" s="15"/>
      <c r="B42" s="16"/>
      <c r="C42" s="172" t="s">
        <v>54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3"/>
      <c r="AY42" s="17">
        <v>320</v>
      </c>
      <c r="AZ42" s="96"/>
      <c r="BA42" s="116">
        <f t="shared" si="6"/>
        <v>0</v>
      </c>
      <c r="BB42" s="108"/>
      <c r="BC42" s="108"/>
      <c r="BD42" s="108"/>
      <c r="BE42" s="108"/>
      <c r="BF42" s="108"/>
      <c r="BG42" s="109"/>
    </row>
    <row r="43" spans="1:59" s="14" customFormat="1" ht="21.95" customHeight="1">
      <c r="A43" s="15"/>
      <c r="B43" s="16"/>
      <c r="C43" s="172" t="s">
        <v>55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3"/>
      <c r="AY43" s="17">
        <v>400</v>
      </c>
      <c r="AZ43" s="96"/>
      <c r="BA43" s="116">
        <f t="shared" si="6"/>
        <v>0</v>
      </c>
      <c r="BB43" s="108"/>
      <c r="BC43" s="108"/>
      <c r="BD43" s="108"/>
      <c r="BE43" s="108"/>
      <c r="BF43" s="108"/>
      <c r="BG43" s="109"/>
    </row>
    <row r="44" spans="1:59" s="14" customFormat="1" ht="21.95" customHeight="1">
      <c r="A44" s="15"/>
      <c r="B44" s="16"/>
      <c r="C44" s="172" t="s">
        <v>56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3"/>
      <c r="AY44" s="17">
        <v>410</v>
      </c>
      <c r="AZ44" s="96"/>
      <c r="BA44" s="116">
        <f t="shared" si="6"/>
        <v>0</v>
      </c>
      <c r="BB44" s="108"/>
      <c r="BC44" s="108"/>
      <c r="BD44" s="108"/>
      <c r="BE44" s="108"/>
      <c r="BF44" s="108"/>
      <c r="BG44" s="109"/>
    </row>
    <row r="45" spans="1:59" s="14" customFormat="1" ht="12" customHeight="1">
      <c r="A45" s="15"/>
      <c r="B45" s="16"/>
      <c r="C45" s="172" t="s">
        <v>57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3"/>
      <c r="AY45" s="17">
        <v>420</v>
      </c>
      <c r="AZ45" s="96"/>
      <c r="BA45" s="116">
        <f t="shared" si="6"/>
        <v>0</v>
      </c>
      <c r="BB45" s="108"/>
      <c r="BC45" s="108"/>
      <c r="BD45" s="108"/>
      <c r="BE45" s="108"/>
      <c r="BF45" s="108"/>
      <c r="BG45" s="109"/>
    </row>
    <row r="46" spans="1:59" ht="11.1" customHeight="1">
      <c r="A46" s="15"/>
      <c r="B46" s="169" t="s">
        <v>26</v>
      </c>
      <c r="C46" s="170" t="s">
        <v>11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1"/>
      <c r="AY46" s="23" t="s">
        <v>27</v>
      </c>
      <c r="AZ46" s="22" t="s">
        <v>32</v>
      </c>
      <c r="BA46" s="116">
        <f>BB46+BC46+BD46+BE46</f>
        <v>62196.87000000001</v>
      </c>
      <c r="BB46" s="115">
        <v>0</v>
      </c>
      <c r="BC46" s="115">
        <v>44.4</v>
      </c>
      <c r="BD46" s="115">
        <v>0</v>
      </c>
      <c r="BE46" s="115">
        <f>9296.06+28570.74+13571.41+10714.26</f>
        <v>62152.470000000008</v>
      </c>
      <c r="BF46" s="115">
        <v>0</v>
      </c>
    </row>
    <row r="47" spans="1:59" ht="10.5" customHeight="1">
      <c r="A47" s="165"/>
      <c r="B47" s="166" t="s">
        <v>28</v>
      </c>
      <c r="C47" s="167" t="s">
        <v>11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8"/>
      <c r="AY47" s="9" t="s">
        <v>29</v>
      </c>
      <c r="AZ47" s="22" t="s">
        <v>32</v>
      </c>
      <c r="BA47" s="116">
        <f>BB47+BC47+BD47+BF47</f>
        <v>0</v>
      </c>
      <c r="BB47" s="108"/>
      <c r="BC47" s="108"/>
      <c r="BD47" s="108"/>
      <c r="BE47" s="108"/>
      <c r="BF47" s="108"/>
    </row>
    <row r="48" spans="1:59" ht="42" customHeight="1">
      <c r="A48" s="196" t="s">
        <v>63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BA48" s="26">
        <f>BA19-BA9-BA46</f>
        <v>2.8958311304450035E-9</v>
      </c>
      <c r="BB48" s="26">
        <f>BB19-BB9-BB46</f>
        <v>1.862645149230957E-9</v>
      </c>
      <c r="BC48" s="26">
        <f t="shared" ref="BC48:BF48" si="7">BC19-BC9-BC46</f>
        <v>-9.3130836376076331E-11</v>
      </c>
      <c r="BD48" s="26">
        <f t="shared" si="7"/>
        <v>0</v>
      </c>
      <c r="BE48" s="26">
        <f t="shared" si="7"/>
        <v>0</v>
      </c>
      <c r="BF48" s="26">
        <f t="shared" si="7"/>
        <v>0</v>
      </c>
    </row>
  </sheetData>
  <mergeCells count="53">
    <mergeCell ref="A48:AX48"/>
    <mergeCell ref="BE6:BF6"/>
    <mergeCell ref="BB5:BF5"/>
    <mergeCell ref="BD6:BD7"/>
    <mergeCell ref="BB6:BB7"/>
    <mergeCell ref="B9:AX9"/>
    <mergeCell ref="B10:AX10"/>
    <mergeCell ref="B11:AX11"/>
    <mergeCell ref="B12:AX12"/>
    <mergeCell ref="B13:AX13"/>
    <mergeCell ref="B14:AX14"/>
    <mergeCell ref="B19:AX19"/>
    <mergeCell ref="B20:AX20"/>
    <mergeCell ref="B21:AX21"/>
    <mergeCell ref="C22:AX22"/>
    <mergeCell ref="C23:AX23"/>
    <mergeCell ref="A2:BF2"/>
    <mergeCell ref="A8:AX8"/>
    <mergeCell ref="BC6:BC7"/>
    <mergeCell ref="BA5:BA7"/>
    <mergeCell ref="A4:AX7"/>
    <mergeCell ref="AY4:AY7"/>
    <mergeCell ref="AZ4:AZ7"/>
    <mergeCell ref="BA4:BF4"/>
    <mergeCell ref="B15:AX15"/>
    <mergeCell ref="B16:AX16"/>
    <mergeCell ref="B17:AX17"/>
    <mergeCell ref="B18:AX18"/>
    <mergeCell ref="C35:AX35"/>
    <mergeCell ref="C24:AX24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6:AX36"/>
    <mergeCell ref="B37:AX37"/>
    <mergeCell ref="C39:AX39"/>
    <mergeCell ref="B40:AX40"/>
    <mergeCell ref="C41:AX41"/>
    <mergeCell ref="A47"/>
    <mergeCell ref="B47:AX47"/>
    <mergeCell ref="B46:AX46"/>
    <mergeCell ref="C38:AX38"/>
    <mergeCell ref="C42:AX42"/>
    <mergeCell ref="C45:AX45"/>
    <mergeCell ref="C44:AX44"/>
    <mergeCell ref="C43:AX43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8"/>
  <sheetViews>
    <sheetView view="pageBreakPreview" zoomScaleNormal="71" zoomScaleSheetLayoutView="100" workbookViewId="0">
      <pane ySplit="8" topLeftCell="A27" activePane="bottomLeft" state="frozen"/>
      <selection pane="bottomLeft" activeCell="AZ40" sqref="AZ40"/>
    </sheetView>
  </sheetViews>
  <sheetFormatPr defaultRowHeight="10.15" customHeight="1"/>
  <cols>
    <col min="1" max="49" width="0.28515625" style="48" customWidth="1"/>
    <col min="50" max="50" width="10.5703125" style="48" customWidth="1"/>
    <col min="51" max="51" width="6.7109375" style="48" customWidth="1"/>
    <col min="52" max="52" width="8.7109375" style="48" customWidth="1"/>
    <col min="53" max="53" width="13.28515625" style="48" customWidth="1"/>
    <col min="54" max="54" width="13.42578125" style="48" customWidth="1"/>
    <col min="55" max="55" width="15.140625" style="48" customWidth="1"/>
    <col min="56" max="56" width="12.140625" style="48" customWidth="1"/>
    <col min="57" max="57" width="11.140625" style="48" customWidth="1"/>
    <col min="58" max="58" width="9.7109375" style="48" customWidth="1"/>
    <col min="59" max="59" width="12.7109375" style="48" bestFit="1" customWidth="1"/>
    <col min="60" max="16384" width="9.140625" style="48"/>
  </cols>
  <sheetData>
    <row r="1" spans="1:59" ht="12.75"/>
    <row r="2" spans="1:59" ht="21" customHeight="1">
      <c r="A2" s="175" t="s">
        <v>138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1:5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2"/>
      <c r="BD3" s="2"/>
      <c r="BE3" s="2"/>
      <c r="BF3" s="2"/>
    </row>
    <row r="4" spans="1:59" ht="12.75" customHeight="1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5"/>
      <c r="AY4" s="192" t="s">
        <v>1</v>
      </c>
      <c r="AZ4" s="192" t="s">
        <v>2</v>
      </c>
      <c r="BA4" s="176" t="s">
        <v>3</v>
      </c>
      <c r="BB4" s="177"/>
      <c r="BC4" s="177"/>
      <c r="BD4" s="177"/>
      <c r="BE4" s="177"/>
      <c r="BF4" s="177"/>
    </row>
    <row r="5" spans="1:59" ht="12.7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8"/>
      <c r="AY5" s="193"/>
      <c r="AZ5" s="193"/>
      <c r="BA5" s="201" t="s">
        <v>30</v>
      </c>
      <c r="BB5" s="194" t="s">
        <v>4</v>
      </c>
      <c r="BC5" s="194"/>
      <c r="BD5" s="194"/>
      <c r="BE5" s="194"/>
      <c r="BF5" s="194"/>
    </row>
    <row r="6" spans="1:59" ht="61.5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/>
      <c r="AY6" s="193"/>
      <c r="AZ6" s="193"/>
      <c r="BA6" s="193"/>
      <c r="BB6" s="179" t="s">
        <v>5</v>
      </c>
      <c r="BC6" s="179" t="s">
        <v>6</v>
      </c>
      <c r="BD6" s="179" t="s">
        <v>7</v>
      </c>
      <c r="BE6" s="179" t="s">
        <v>8</v>
      </c>
      <c r="BF6" s="179"/>
    </row>
    <row r="7" spans="1:59" ht="31.5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194"/>
      <c r="AZ7" s="194"/>
      <c r="BA7" s="194"/>
      <c r="BB7" s="179"/>
      <c r="BC7" s="179"/>
      <c r="BD7" s="179"/>
      <c r="BE7" s="52" t="s">
        <v>9</v>
      </c>
      <c r="BF7" s="52" t="s">
        <v>10</v>
      </c>
    </row>
    <row r="8" spans="1:59" ht="11.1" customHeight="1">
      <c r="A8" s="176">
        <v>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5">
        <v>2</v>
      </c>
      <c r="AZ8" s="53">
        <v>3</v>
      </c>
      <c r="BA8" s="53">
        <v>4</v>
      </c>
      <c r="BB8" s="53">
        <v>5</v>
      </c>
      <c r="BC8" s="53">
        <v>6</v>
      </c>
      <c r="BD8" s="53">
        <v>7</v>
      </c>
      <c r="BE8" s="52">
        <v>8</v>
      </c>
      <c r="BF8" s="52">
        <v>9</v>
      </c>
    </row>
    <row r="9" spans="1:59" ht="23.25" customHeight="1">
      <c r="A9" s="6"/>
      <c r="B9" s="198" t="s">
        <v>31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200"/>
      <c r="AY9" s="21">
        <v>100</v>
      </c>
      <c r="AZ9" s="22" t="s">
        <v>32</v>
      </c>
      <c r="BA9" s="114">
        <f>BA10+BA12+BA13+BA14+BA15+BA16+BA17</f>
        <v>11895144</v>
      </c>
      <c r="BB9" s="114">
        <f>BB12</f>
        <v>10772824</v>
      </c>
      <c r="BC9" s="114">
        <f>BC15</f>
        <v>441320</v>
      </c>
      <c r="BD9" s="114">
        <f>BD15</f>
        <v>0</v>
      </c>
      <c r="BE9" s="114">
        <f>BE10+BE12+BE13+BE14+BE16+BE17</f>
        <v>681000</v>
      </c>
      <c r="BF9" s="114">
        <f>BF12+BF16</f>
        <v>0</v>
      </c>
      <c r="BG9" s="112">
        <f>11895144-BA9</f>
        <v>0</v>
      </c>
    </row>
    <row r="10" spans="1:59" ht="21.75" customHeight="1">
      <c r="A10" s="8"/>
      <c r="B10" s="172" t="s">
        <v>58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  <c r="AY10" s="17">
        <v>110</v>
      </c>
      <c r="AZ10" s="18" t="s">
        <v>13</v>
      </c>
      <c r="BA10" s="108">
        <f>BE10</f>
        <v>131000</v>
      </c>
      <c r="BB10" s="107" t="s">
        <v>32</v>
      </c>
      <c r="BC10" s="107" t="s">
        <v>32</v>
      </c>
      <c r="BD10" s="107" t="s">
        <v>32</v>
      </c>
      <c r="BE10" s="108">
        <v>131000</v>
      </c>
      <c r="BF10" s="107" t="s">
        <v>32</v>
      </c>
      <c r="BG10" s="19" t="s">
        <v>33</v>
      </c>
    </row>
    <row r="11" spans="1:59" ht="13.5" customHeight="1">
      <c r="A11" s="8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8"/>
      <c r="AY11" s="17"/>
      <c r="AZ11" s="7"/>
      <c r="BA11" s="108"/>
      <c r="BB11" s="108"/>
      <c r="BC11" s="108"/>
      <c r="BD11" s="108"/>
      <c r="BE11" s="108"/>
      <c r="BF11" s="108"/>
    </row>
    <row r="12" spans="1:59" ht="12.75">
      <c r="A12" s="8"/>
      <c r="B12" s="172" t="s">
        <v>37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  <c r="AY12" s="17">
        <v>120</v>
      </c>
      <c r="AZ12" s="18" t="s">
        <v>15</v>
      </c>
      <c r="BA12" s="108">
        <f>BB12+BE12+BF12</f>
        <v>11167824</v>
      </c>
      <c r="BB12" s="108">
        <v>10772824</v>
      </c>
      <c r="BC12" s="107" t="s">
        <v>32</v>
      </c>
      <c r="BD12" s="107" t="s">
        <v>32</v>
      </c>
      <c r="BE12" s="108">
        <f>322000+73000</f>
        <v>395000</v>
      </c>
      <c r="BF12" s="108">
        <v>0</v>
      </c>
      <c r="BG12" s="19" t="s">
        <v>42</v>
      </c>
    </row>
    <row r="13" spans="1:59" ht="24" customHeight="1">
      <c r="A13" s="8"/>
      <c r="B13" s="172" t="s">
        <v>36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  <c r="AY13" s="17">
        <v>130</v>
      </c>
      <c r="AZ13" s="7" t="s">
        <v>14</v>
      </c>
      <c r="BA13" s="108">
        <f>BE13</f>
        <v>0</v>
      </c>
      <c r="BB13" s="107" t="s">
        <v>32</v>
      </c>
      <c r="BC13" s="107" t="s">
        <v>32</v>
      </c>
      <c r="BD13" s="107" t="s">
        <v>32</v>
      </c>
      <c r="BE13" s="107">
        <v>0</v>
      </c>
      <c r="BF13" s="107" t="s">
        <v>32</v>
      </c>
      <c r="BG13" s="19" t="s">
        <v>34</v>
      </c>
    </row>
    <row r="14" spans="1:59" ht="56.25" customHeight="1">
      <c r="A14" s="8"/>
      <c r="B14" s="172" t="s">
        <v>35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17">
        <v>140</v>
      </c>
      <c r="AZ14" s="18" t="s">
        <v>43</v>
      </c>
      <c r="BA14" s="108">
        <f>BE14</f>
        <v>0</v>
      </c>
      <c r="BB14" s="107" t="s">
        <v>32</v>
      </c>
      <c r="BC14" s="107" t="s">
        <v>32</v>
      </c>
      <c r="BD14" s="107" t="s">
        <v>32</v>
      </c>
      <c r="BE14" s="107">
        <v>0</v>
      </c>
      <c r="BF14" s="107" t="s">
        <v>32</v>
      </c>
    </row>
    <row r="15" spans="1:59" ht="26.25" customHeight="1">
      <c r="A15" s="8"/>
      <c r="B15" s="172" t="s">
        <v>38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8"/>
      <c r="AY15" s="17">
        <v>150</v>
      </c>
      <c r="AZ15" s="18" t="s">
        <v>12</v>
      </c>
      <c r="BA15" s="108">
        <f>BC15+BD15</f>
        <v>441320</v>
      </c>
      <c r="BB15" s="107" t="s">
        <v>32</v>
      </c>
      <c r="BC15" s="108">
        <v>441320</v>
      </c>
      <c r="BD15" s="108">
        <v>0</v>
      </c>
      <c r="BE15" s="107" t="s">
        <v>32</v>
      </c>
      <c r="BF15" s="107" t="s">
        <v>32</v>
      </c>
      <c r="BG15" s="19" t="s">
        <v>44</v>
      </c>
    </row>
    <row r="16" spans="1:59" ht="13.5" customHeight="1">
      <c r="A16" s="8"/>
      <c r="B16" s="172" t="s">
        <v>39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8"/>
      <c r="AY16" s="17">
        <v>160</v>
      </c>
      <c r="AZ16" s="7" t="s">
        <v>12</v>
      </c>
      <c r="BA16" s="108">
        <f>BE16</f>
        <v>155000</v>
      </c>
      <c r="BB16" s="107" t="s">
        <v>32</v>
      </c>
      <c r="BC16" s="107" t="s">
        <v>32</v>
      </c>
      <c r="BD16" s="107" t="s">
        <v>32</v>
      </c>
      <c r="BE16" s="108">
        <f>60000+95000</f>
        <v>155000</v>
      </c>
      <c r="BF16" s="108">
        <v>0</v>
      </c>
      <c r="BG16" s="19" t="s">
        <v>40</v>
      </c>
    </row>
    <row r="17" spans="1:59" ht="18" customHeight="1">
      <c r="A17" s="8"/>
      <c r="B17" s="172" t="s">
        <v>41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Y17" s="17">
        <v>180</v>
      </c>
      <c r="AZ17" s="18" t="s">
        <v>59</v>
      </c>
      <c r="BA17" s="108">
        <f>BE17</f>
        <v>0</v>
      </c>
      <c r="BB17" s="107" t="s">
        <v>32</v>
      </c>
      <c r="BC17" s="107" t="s">
        <v>32</v>
      </c>
      <c r="BD17" s="107" t="s">
        <v>32</v>
      </c>
      <c r="BE17" s="108">
        <v>0</v>
      </c>
      <c r="BF17" s="107">
        <v>0</v>
      </c>
    </row>
    <row r="18" spans="1:59" ht="12" customHeight="1">
      <c r="A18" s="20"/>
      <c r="B18" s="172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17"/>
      <c r="AZ18" s="18"/>
      <c r="BA18" s="108"/>
      <c r="BB18" s="107"/>
      <c r="BC18" s="107"/>
      <c r="BD18" s="107"/>
      <c r="BE18" s="108"/>
      <c r="BF18" s="108"/>
    </row>
    <row r="19" spans="1:59" ht="25.5" customHeight="1">
      <c r="A19" s="6"/>
      <c r="B19" s="198" t="s">
        <v>45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200"/>
      <c r="AY19" s="21">
        <v>200</v>
      </c>
      <c r="AZ19" s="22" t="s">
        <v>32</v>
      </c>
      <c r="BA19" s="114">
        <f>BA20+BA26+BA29+BA34+BA36+BA37</f>
        <v>11895144</v>
      </c>
      <c r="BB19" s="114">
        <f>BB20+BB26+BB29+BB34+BB36+BB37</f>
        <v>10772824</v>
      </c>
      <c r="BC19" s="114">
        <f t="shared" ref="BC19:BE19" si="0">BC20+BC26+BC29+BC34+BC36+BC37</f>
        <v>441320</v>
      </c>
      <c r="BD19" s="114">
        <f t="shared" si="0"/>
        <v>0</v>
      </c>
      <c r="BE19" s="114">
        <f t="shared" si="0"/>
        <v>681000</v>
      </c>
      <c r="BF19" s="114">
        <f>BF20+BF26+BF29+BF34+BF36+BF37</f>
        <v>0</v>
      </c>
      <c r="BG19" s="112">
        <f>11895144-BA19</f>
        <v>0</v>
      </c>
    </row>
    <row r="20" spans="1:59" ht="36" customHeight="1">
      <c r="A20" s="8"/>
      <c r="B20" s="174" t="s">
        <v>46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1"/>
      <c r="AY20" s="23">
        <v>210</v>
      </c>
      <c r="AZ20" s="25"/>
      <c r="BA20" s="115">
        <f>BA21+BA24+BA25</f>
        <v>8618483</v>
      </c>
      <c r="BB20" s="115">
        <f t="shared" ref="BB20:BF20" si="1">BB21+BB24+BB25</f>
        <v>8395163</v>
      </c>
      <c r="BC20" s="115">
        <f t="shared" si="1"/>
        <v>34320</v>
      </c>
      <c r="BD20" s="115">
        <f t="shared" si="1"/>
        <v>0</v>
      </c>
      <c r="BE20" s="115">
        <f t="shared" si="1"/>
        <v>189000</v>
      </c>
      <c r="BF20" s="115">
        <f t="shared" si="1"/>
        <v>0</v>
      </c>
    </row>
    <row r="21" spans="1:59" ht="35.25" customHeight="1">
      <c r="A21" s="8"/>
      <c r="B21" s="174" t="s">
        <v>47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1"/>
      <c r="AY21" s="23">
        <v>211</v>
      </c>
      <c r="AZ21" s="24"/>
      <c r="BA21" s="115">
        <f>BA22+BA23</f>
        <v>8564090</v>
      </c>
      <c r="BB21" s="115">
        <f t="shared" ref="BB21:BF21" si="2">BB22+BB23</f>
        <v>8375090</v>
      </c>
      <c r="BC21" s="115">
        <f t="shared" si="2"/>
        <v>0</v>
      </c>
      <c r="BD21" s="115">
        <f t="shared" si="2"/>
        <v>0</v>
      </c>
      <c r="BE21" s="115">
        <f>BE22+BE23</f>
        <v>189000</v>
      </c>
      <c r="BF21" s="115">
        <f t="shared" si="2"/>
        <v>0</v>
      </c>
    </row>
    <row r="22" spans="1:59" ht="12.75">
      <c r="A22" s="10"/>
      <c r="B22" s="11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17"/>
      <c r="AZ22" s="18" t="s">
        <v>19</v>
      </c>
      <c r="BA22" s="108">
        <f>BB22+BC22+BD22+BE22</f>
        <v>6612667</v>
      </c>
      <c r="BB22" s="108">
        <v>6467667</v>
      </c>
      <c r="BC22" s="108">
        <v>0</v>
      </c>
      <c r="BD22" s="108"/>
      <c r="BE22" s="108">
        <v>145000</v>
      </c>
      <c r="BF22" s="108"/>
    </row>
    <row r="23" spans="1:59" ht="12.75">
      <c r="A23" s="49"/>
      <c r="B23" s="50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  <c r="AY23" s="17"/>
      <c r="AZ23" s="18" t="s">
        <v>20</v>
      </c>
      <c r="BA23" s="108">
        <f>BB23+BC23+BD23+BE23</f>
        <v>1951423</v>
      </c>
      <c r="BB23" s="108">
        <v>1907423</v>
      </c>
      <c r="BC23" s="108">
        <v>0</v>
      </c>
      <c r="BD23" s="108"/>
      <c r="BE23" s="108">
        <v>44000</v>
      </c>
      <c r="BF23" s="108">
        <v>0</v>
      </c>
    </row>
    <row r="24" spans="1:59" ht="12.75">
      <c r="A24" s="49"/>
      <c r="B24" s="50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8"/>
      <c r="AY24" s="17"/>
      <c r="AZ24" s="18" t="s">
        <v>18</v>
      </c>
      <c r="BA24" s="108">
        <f>BB24+BC24+BD24+BE24</f>
        <v>54393</v>
      </c>
      <c r="BB24" s="108">
        <f>3073+17000</f>
        <v>20073</v>
      </c>
      <c r="BC24" s="108">
        <v>34320</v>
      </c>
      <c r="BD24" s="108"/>
      <c r="BE24" s="108">
        <v>0</v>
      </c>
      <c r="BF24" s="108">
        <v>0</v>
      </c>
    </row>
    <row r="25" spans="1:59" ht="12.75">
      <c r="A25" s="49"/>
      <c r="B25" s="50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8"/>
      <c r="AY25" s="17"/>
      <c r="AZ25" s="18" t="s">
        <v>24</v>
      </c>
      <c r="BA25" s="108">
        <f>BB25+BC25+BD25+BE25</f>
        <v>0</v>
      </c>
      <c r="BB25" s="108">
        <v>0</v>
      </c>
      <c r="BC25" s="108">
        <v>0</v>
      </c>
      <c r="BD25" s="108"/>
      <c r="BE25" s="108">
        <v>0</v>
      </c>
      <c r="BF25" s="108">
        <v>0</v>
      </c>
    </row>
    <row r="26" spans="1:59" ht="33" customHeight="1">
      <c r="A26" s="8"/>
      <c r="B26" s="174" t="s">
        <v>48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1"/>
      <c r="AY26" s="23">
        <v>220</v>
      </c>
      <c r="AZ26" s="25"/>
      <c r="BA26" s="115">
        <f>BA28</f>
        <v>0</v>
      </c>
      <c r="BB26" s="115">
        <f t="shared" ref="BB26:BF26" si="3">BB28</f>
        <v>0</v>
      </c>
      <c r="BC26" s="115">
        <f t="shared" si="3"/>
        <v>0</v>
      </c>
      <c r="BD26" s="115">
        <f t="shared" si="3"/>
        <v>0</v>
      </c>
      <c r="BE26" s="115">
        <f t="shared" si="3"/>
        <v>0</v>
      </c>
      <c r="BF26" s="115">
        <f t="shared" si="3"/>
        <v>0</v>
      </c>
    </row>
    <row r="27" spans="1:59" ht="12.75">
      <c r="A27" s="10"/>
      <c r="B27" s="11"/>
      <c r="C27" s="167" t="s">
        <v>16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8"/>
      <c r="AY27" s="17"/>
      <c r="AZ27" s="7"/>
      <c r="BA27" s="108"/>
      <c r="BB27" s="108"/>
      <c r="BC27" s="108"/>
      <c r="BD27" s="108"/>
      <c r="BE27" s="108"/>
      <c r="BF27" s="108"/>
    </row>
    <row r="28" spans="1:59" ht="12.75">
      <c r="A28" s="49"/>
      <c r="B28" s="50"/>
      <c r="C28" s="17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17"/>
      <c r="AZ28" s="18" t="s">
        <v>21</v>
      </c>
      <c r="BA28" s="108">
        <f>BB28+BC28+BD28+BE28</f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</row>
    <row r="29" spans="1:59" ht="21.95" customHeight="1">
      <c r="A29" s="49"/>
      <c r="B29" s="50"/>
      <c r="C29" s="174" t="s">
        <v>49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23">
        <v>230</v>
      </c>
      <c r="AZ29" s="25"/>
      <c r="BA29" s="115">
        <f>BA31+BA32+BA33</f>
        <v>235045</v>
      </c>
      <c r="BB29" s="115">
        <f>BB31+BB32+BB33</f>
        <v>235045</v>
      </c>
      <c r="BC29" s="115">
        <f t="shared" ref="BC29:BE29" si="4">BC31+BC32+BC33</f>
        <v>0</v>
      </c>
      <c r="BD29" s="115">
        <f t="shared" si="4"/>
        <v>0</v>
      </c>
      <c r="BE29" s="115">
        <f t="shared" si="4"/>
        <v>0</v>
      </c>
      <c r="BF29" s="115">
        <f>BF31+BF32+BF33</f>
        <v>0</v>
      </c>
    </row>
    <row r="30" spans="1:59" ht="10.5" customHeight="1">
      <c r="A30" s="49"/>
      <c r="B30" s="50"/>
      <c r="C30" s="167" t="s">
        <v>16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8"/>
      <c r="AY30" s="17"/>
      <c r="AZ30" s="7"/>
      <c r="BA30" s="108"/>
      <c r="BB30" s="108"/>
      <c r="BC30" s="108"/>
      <c r="BD30" s="108"/>
      <c r="BE30" s="108"/>
      <c r="BF30" s="108"/>
    </row>
    <row r="31" spans="1:59" ht="12.75">
      <c r="A31" s="8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8"/>
      <c r="AY31" s="17"/>
      <c r="AZ31" s="18" t="s">
        <v>25</v>
      </c>
      <c r="BA31" s="108">
        <f>BB31+BC31+BD31+BE31</f>
        <v>211419</v>
      </c>
      <c r="BB31" s="108">
        <v>211419</v>
      </c>
      <c r="BC31" s="108">
        <v>0</v>
      </c>
      <c r="BD31" s="108"/>
      <c r="BE31" s="108"/>
      <c r="BF31" s="108">
        <v>0</v>
      </c>
    </row>
    <row r="32" spans="1:59" ht="12.75">
      <c r="A32" s="10"/>
      <c r="B32" s="1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8"/>
      <c r="AY32" s="17"/>
      <c r="AZ32" s="18" t="s">
        <v>22</v>
      </c>
      <c r="BA32" s="108">
        <f>BB32+BC32+BD32+BE32</f>
        <v>23626</v>
      </c>
      <c r="BB32" s="108">
        <f>2572+21054</f>
        <v>23626</v>
      </c>
      <c r="BC32" s="108">
        <v>0</v>
      </c>
      <c r="BD32" s="108"/>
      <c r="BE32" s="108"/>
      <c r="BF32" s="108">
        <v>0</v>
      </c>
    </row>
    <row r="33" spans="1:59" ht="12.75">
      <c r="A33" s="49"/>
      <c r="B33" s="50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8"/>
      <c r="AY33" s="17"/>
      <c r="AZ33" s="18" t="s">
        <v>23</v>
      </c>
      <c r="BA33" s="108">
        <f t="shared" ref="BA33" si="5">BB33+BC33+BD33+BE33</f>
        <v>0</v>
      </c>
      <c r="BB33" s="108">
        <v>0</v>
      </c>
      <c r="BC33" s="108">
        <v>0</v>
      </c>
      <c r="BD33" s="108"/>
      <c r="BE33" s="108">
        <v>0</v>
      </c>
      <c r="BF33" s="108">
        <v>0</v>
      </c>
    </row>
    <row r="34" spans="1:59" ht="23.25" customHeight="1">
      <c r="A34" s="49"/>
      <c r="B34" s="50"/>
      <c r="C34" s="174" t="s">
        <v>50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/>
      <c r="AY34" s="23">
        <v>240</v>
      </c>
      <c r="AZ34" s="25"/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</row>
    <row r="35" spans="1:59" ht="11.1" customHeight="1">
      <c r="A35" s="49"/>
      <c r="B35" s="50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8"/>
      <c r="AY35" s="17"/>
      <c r="AZ35" s="7"/>
      <c r="BA35" s="108"/>
      <c r="BB35" s="108"/>
      <c r="BC35" s="108"/>
      <c r="BD35" s="108"/>
      <c r="BE35" s="108"/>
      <c r="BF35" s="108"/>
    </row>
    <row r="36" spans="1:59" ht="23.25" customHeight="1">
      <c r="A36" s="49"/>
      <c r="B36" s="50"/>
      <c r="C36" s="174" t="s">
        <v>51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1"/>
      <c r="AY36" s="23">
        <v>250</v>
      </c>
      <c r="AZ36" s="24" t="s">
        <v>61</v>
      </c>
      <c r="BA36" s="115">
        <f>BD36</f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9" t="s">
        <v>62</v>
      </c>
    </row>
    <row r="37" spans="1:59" ht="32.25" customHeight="1">
      <c r="A37" s="8"/>
      <c r="B37" s="174" t="s">
        <v>60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23">
        <v>260</v>
      </c>
      <c r="AZ37" s="24" t="s">
        <v>17</v>
      </c>
      <c r="BA37" s="115">
        <f>BB37+BC37+BD37+BE37</f>
        <v>3041616</v>
      </c>
      <c r="BB37" s="115">
        <f>23684+13696+98948+285829+188741+25879+550244+872376+58000+25219</f>
        <v>2142616</v>
      </c>
      <c r="BC37" s="115">
        <v>407000</v>
      </c>
      <c r="BD37" s="115"/>
      <c r="BE37" s="115">
        <f>477000+15000</f>
        <v>492000</v>
      </c>
      <c r="BF37" s="115">
        <v>0</v>
      </c>
    </row>
    <row r="38" spans="1:59" ht="12.75">
      <c r="A38" s="10"/>
      <c r="B38" s="1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17"/>
      <c r="AZ38" s="7"/>
      <c r="BA38" s="108"/>
      <c r="BB38" s="108"/>
      <c r="BC38" s="108"/>
      <c r="BD38" s="108"/>
      <c r="BE38" s="108"/>
      <c r="BF38" s="108"/>
    </row>
    <row r="39" spans="1:59" ht="11.1" customHeight="1">
      <c r="A39" s="49"/>
      <c r="B39" s="50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8"/>
      <c r="AY39" s="17"/>
      <c r="AZ39" s="7"/>
      <c r="BA39" s="108"/>
      <c r="BB39" s="108"/>
      <c r="BC39" s="108"/>
      <c r="BD39" s="108"/>
      <c r="BE39" s="108"/>
      <c r="BF39" s="108"/>
    </row>
    <row r="40" spans="1:59" ht="22.5" customHeight="1">
      <c r="A40" s="8"/>
      <c r="B40" s="172" t="s">
        <v>52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8"/>
      <c r="AY40" s="17">
        <v>300</v>
      </c>
      <c r="AZ40" s="18" t="s">
        <v>32</v>
      </c>
      <c r="BA40" s="108">
        <f t="shared" ref="BA40:BA45" si="6">BB40+BC40+BD40+BF40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5.5" customHeight="1">
      <c r="A41" s="10"/>
      <c r="B41" s="11"/>
      <c r="C41" s="172" t="s">
        <v>53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8"/>
      <c r="AY41" s="17">
        <v>310</v>
      </c>
      <c r="AZ41" s="7"/>
      <c r="BA41" s="108">
        <f t="shared" si="6"/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</row>
    <row r="42" spans="1:59" ht="14.25" customHeight="1">
      <c r="A42" s="49"/>
      <c r="B42" s="50"/>
      <c r="C42" s="172" t="s">
        <v>54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3"/>
      <c r="AY42" s="17">
        <v>320</v>
      </c>
      <c r="AZ42" s="7"/>
      <c r="BA42" s="108">
        <f t="shared" si="6"/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</row>
    <row r="43" spans="1:59" ht="21.95" customHeight="1">
      <c r="A43" s="49"/>
      <c r="B43" s="50"/>
      <c r="C43" s="172" t="s">
        <v>55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3"/>
      <c r="AY43" s="17">
        <v>400</v>
      </c>
      <c r="AZ43" s="7"/>
      <c r="BA43" s="108">
        <f t="shared" si="6"/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</row>
    <row r="44" spans="1:59" ht="21.95" customHeight="1">
      <c r="A44" s="49"/>
      <c r="B44" s="50"/>
      <c r="C44" s="172" t="s">
        <v>56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3"/>
      <c r="AY44" s="17">
        <v>410</v>
      </c>
      <c r="AZ44" s="7"/>
      <c r="BA44" s="108">
        <f t="shared" si="6"/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</row>
    <row r="45" spans="1:59" ht="12" customHeight="1">
      <c r="A45" s="49"/>
      <c r="B45" s="50"/>
      <c r="C45" s="172" t="s">
        <v>57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3"/>
      <c r="AY45" s="17">
        <v>420</v>
      </c>
      <c r="AZ45" s="7"/>
      <c r="BA45" s="108">
        <f t="shared" si="6"/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</row>
    <row r="46" spans="1:59" ht="11.1" customHeight="1">
      <c r="A46" s="49"/>
      <c r="B46" s="169" t="s">
        <v>26</v>
      </c>
      <c r="C46" s="170" t="s">
        <v>11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1"/>
      <c r="AY46" s="23" t="s">
        <v>27</v>
      </c>
      <c r="AZ46" s="24" t="s">
        <v>32</v>
      </c>
      <c r="BA46" s="115">
        <f>BB46+BC46+BD46+BE46</f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</row>
    <row r="47" spans="1:59" ht="10.5" customHeight="1">
      <c r="A47" s="49"/>
      <c r="B47" s="166" t="s">
        <v>28</v>
      </c>
      <c r="C47" s="167" t="s">
        <v>11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8"/>
      <c r="AY47" s="17" t="s">
        <v>29</v>
      </c>
      <c r="AZ47" s="18" t="s">
        <v>32</v>
      </c>
      <c r="BA47" s="108">
        <f>BB47+BC47+BD47+BF47</f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</row>
    <row r="48" spans="1:59" ht="42" customHeight="1">
      <c r="A48" s="196" t="s">
        <v>63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BA48" s="26">
        <f>BA19-BA9-BA46</f>
        <v>0</v>
      </c>
      <c r="BB48" s="26">
        <f t="shared" ref="BB48:BF48" si="7">BB19-BB9-BB46</f>
        <v>0</v>
      </c>
      <c r="BC48" s="26">
        <f t="shared" si="7"/>
        <v>0</v>
      </c>
      <c r="BD48" s="26">
        <f t="shared" si="7"/>
        <v>0</v>
      </c>
      <c r="BE48" s="26">
        <f t="shared" si="7"/>
        <v>0</v>
      </c>
      <c r="BF48" s="26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8"/>
  <sheetViews>
    <sheetView view="pageBreakPreview" zoomScaleNormal="71" zoomScaleSheetLayoutView="100" workbookViewId="0">
      <pane ySplit="8" topLeftCell="A33" activePane="bottomLeft" state="frozen"/>
      <selection pane="bottomLeft" activeCell="BA37" sqref="BA37"/>
    </sheetView>
  </sheetViews>
  <sheetFormatPr defaultRowHeight="10.15" customHeight="1"/>
  <cols>
    <col min="1" max="49" width="0.28515625" style="48" customWidth="1"/>
    <col min="50" max="50" width="10.5703125" style="48" customWidth="1"/>
    <col min="51" max="51" width="6.7109375" style="48" customWidth="1"/>
    <col min="52" max="52" width="8.7109375" style="48" customWidth="1"/>
    <col min="53" max="53" width="13.5703125" style="48" customWidth="1"/>
    <col min="54" max="54" width="13.42578125" style="48" customWidth="1"/>
    <col min="55" max="55" width="15.140625" style="48" customWidth="1"/>
    <col min="56" max="56" width="12.140625" style="48" customWidth="1"/>
    <col min="57" max="57" width="11.140625" style="48" customWidth="1"/>
    <col min="58" max="58" width="9.7109375" style="48" customWidth="1"/>
    <col min="59" max="59" width="13.42578125" style="48" bestFit="1" customWidth="1"/>
    <col min="60" max="16384" width="9.140625" style="48"/>
  </cols>
  <sheetData>
    <row r="1" spans="1:59" ht="12.75"/>
    <row r="2" spans="1:59" ht="21" customHeight="1">
      <c r="A2" s="175" t="s">
        <v>139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1:5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2"/>
      <c r="BD3" s="2"/>
      <c r="BE3" s="2"/>
      <c r="BF3" s="2"/>
    </row>
    <row r="4" spans="1:59" ht="12.75" customHeight="1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5"/>
      <c r="AY4" s="192" t="s">
        <v>1</v>
      </c>
      <c r="AZ4" s="192" t="s">
        <v>2</v>
      </c>
      <c r="BA4" s="176" t="s">
        <v>3</v>
      </c>
      <c r="BB4" s="177"/>
      <c r="BC4" s="177"/>
      <c r="BD4" s="177"/>
      <c r="BE4" s="177"/>
      <c r="BF4" s="177"/>
    </row>
    <row r="5" spans="1:59" ht="12.7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8"/>
      <c r="AY5" s="193"/>
      <c r="AZ5" s="193"/>
      <c r="BA5" s="201" t="s">
        <v>30</v>
      </c>
      <c r="BB5" s="194" t="s">
        <v>4</v>
      </c>
      <c r="BC5" s="194"/>
      <c r="BD5" s="194"/>
      <c r="BE5" s="194"/>
      <c r="BF5" s="194"/>
    </row>
    <row r="6" spans="1:59" ht="61.5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/>
      <c r="AY6" s="193"/>
      <c r="AZ6" s="193"/>
      <c r="BA6" s="193"/>
      <c r="BB6" s="179" t="s">
        <v>5</v>
      </c>
      <c r="BC6" s="179" t="s">
        <v>6</v>
      </c>
      <c r="BD6" s="179" t="s">
        <v>7</v>
      </c>
      <c r="BE6" s="179" t="s">
        <v>8</v>
      </c>
      <c r="BF6" s="179"/>
    </row>
    <row r="7" spans="1:59" ht="26.25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194"/>
      <c r="AZ7" s="194"/>
      <c r="BA7" s="194"/>
      <c r="BB7" s="179"/>
      <c r="BC7" s="179"/>
      <c r="BD7" s="179"/>
      <c r="BE7" s="52" t="s">
        <v>9</v>
      </c>
      <c r="BF7" s="52" t="s">
        <v>10</v>
      </c>
    </row>
    <row r="8" spans="1:59" ht="11.1" customHeight="1">
      <c r="A8" s="176">
        <v>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5">
        <v>2</v>
      </c>
      <c r="AZ8" s="53">
        <v>3</v>
      </c>
      <c r="BA8" s="53">
        <v>4</v>
      </c>
      <c r="BB8" s="53">
        <v>5</v>
      </c>
      <c r="BC8" s="53">
        <v>6</v>
      </c>
      <c r="BD8" s="53">
        <v>7</v>
      </c>
      <c r="BE8" s="52">
        <v>8</v>
      </c>
      <c r="BF8" s="52">
        <v>9</v>
      </c>
    </row>
    <row r="9" spans="1:59" ht="23.25" customHeight="1">
      <c r="A9" s="6"/>
      <c r="B9" s="198" t="s">
        <v>31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200"/>
      <c r="AY9" s="21">
        <v>100</v>
      </c>
      <c r="AZ9" s="22" t="s">
        <v>32</v>
      </c>
      <c r="BA9" s="114">
        <f>BA10+BA12+BA13+BA14+BA15+BA16+BA17</f>
        <v>11901144</v>
      </c>
      <c r="BB9" s="114">
        <f>BB12</f>
        <v>10772824</v>
      </c>
      <c r="BC9" s="114">
        <f>BC15</f>
        <v>447320</v>
      </c>
      <c r="BD9" s="114">
        <f>BD15</f>
        <v>0</v>
      </c>
      <c r="BE9" s="114">
        <f>BE10+BE12+BE13+BE14+BE16+BE17</f>
        <v>681000</v>
      </c>
      <c r="BF9" s="114">
        <f>BF12+BF16</f>
        <v>0</v>
      </c>
      <c r="BG9" s="112">
        <f>11901144-BA9</f>
        <v>0</v>
      </c>
    </row>
    <row r="10" spans="1:59" ht="21.75" customHeight="1">
      <c r="A10" s="8"/>
      <c r="B10" s="172" t="s">
        <v>58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  <c r="AY10" s="17">
        <v>110</v>
      </c>
      <c r="AZ10" s="18" t="s">
        <v>13</v>
      </c>
      <c r="BA10" s="108">
        <f>BE10</f>
        <v>131000</v>
      </c>
      <c r="BB10" s="107" t="s">
        <v>32</v>
      </c>
      <c r="BC10" s="107" t="s">
        <v>32</v>
      </c>
      <c r="BD10" s="107" t="s">
        <v>32</v>
      </c>
      <c r="BE10" s="108">
        <v>131000</v>
      </c>
      <c r="BF10" s="107" t="s">
        <v>32</v>
      </c>
      <c r="BG10" s="19" t="s">
        <v>33</v>
      </c>
    </row>
    <row r="11" spans="1:59" ht="13.5" customHeight="1">
      <c r="A11" s="8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8"/>
      <c r="AY11" s="17"/>
      <c r="AZ11" s="7"/>
      <c r="BA11" s="108"/>
      <c r="BB11" s="108"/>
      <c r="BC11" s="108"/>
      <c r="BD11" s="108"/>
      <c r="BE11" s="108"/>
      <c r="BF11" s="108"/>
    </row>
    <row r="12" spans="1:59" ht="12.75">
      <c r="A12" s="8"/>
      <c r="B12" s="172" t="s">
        <v>37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  <c r="AY12" s="17">
        <v>120</v>
      </c>
      <c r="AZ12" s="18" t="s">
        <v>15</v>
      </c>
      <c r="BA12" s="108">
        <f>BB12+BE12+BF12</f>
        <v>11167824</v>
      </c>
      <c r="BB12" s="108">
        <v>10772824</v>
      </c>
      <c r="BC12" s="107" t="s">
        <v>32</v>
      </c>
      <c r="BD12" s="107" t="s">
        <v>32</v>
      </c>
      <c r="BE12" s="108">
        <f>322000+73000</f>
        <v>395000</v>
      </c>
      <c r="BF12" s="108">
        <v>0</v>
      </c>
      <c r="BG12" s="19" t="s">
        <v>42</v>
      </c>
    </row>
    <row r="13" spans="1:59" ht="24" customHeight="1">
      <c r="A13" s="8"/>
      <c r="B13" s="172" t="s">
        <v>36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  <c r="AY13" s="17">
        <v>130</v>
      </c>
      <c r="AZ13" s="7" t="s">
        <v>14</v>
      </c>
      <c r="BA13" s="108">
        <f>BE13</f>
        <v>0</v>
      </c>
      <c r="BB13" s="107" t="s">
        <v>32</v>
      </c>
      <c r="BC13" s="107" t="s">
        <v>32</v>
      </c>
      <c r="BD13" s="107" t="s">
        <v>32</v>
      </c>
      <c r="BE13" s="107">
        <v>0</v>
      </c>
      <c r="BF13" s="107" t="s">
        <v>32</v>
      </c>
      <c r="BG13" s="19" t="s">
        <v>34</v>
      </c>
    </row>
    <row r="14" spans="1:59" ht="56.25" customHeight="1">
      <c r="A14" s="8"/>
      <c r="B14" s="172" t="s">
        <v>35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17">
        <v>140</v>
      </c>
      <c r="AZ14" s="18" t="s">
        <v>43</v>
      </c>
      <c r="BA14" s="108">
        <f>BE14</f>
        <v>0</v>
      </c>
      <c r="BB14" s="107" t="s">
        <v>32</v>
      </c>
      <c r="BC14" s="107" t="s">
        <v>32</v>
      </c>
      <c r="BD14" s="107" t="s">
        <v>32</v>
      </c>
      <c r="BE14" s="107">
        <v>0</v>
      </c>
      <c r="BF14" s="107" t="s">
        <v>32</v>
      </c>
    </row>
    <row r="15" spans="1:59" ht="26.25" customHeight="1">
      <c r="A15" s="8"/>
      <c r="B15" s="172" t="s">
        <v>38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8"/>
      <c r="AY15" s="17">
        <v>150</v>
      </c>
      <c r="AZ15" s="18" t="s">
        <v>12</v>
      </c>
      <c r="BA15" s="108">
        <f>BC15+BD15</f>
        <v>447320</v>
      </c>
      <c r="BB15" s="107" t="s">
        <v>32</v>
      </c>
      <c r="BC15" s="108">
        <v>447320</v>
      </c>
      <c r="BD15" s="108">
        <v>0</v>
      </c>
      <c r="BE15" s="107" t="s">
        <v>32</v>
      </c>
      <c r="BF15" s="107" t="s">
        <v>32</v>
      </c>
      <c r="BG15" s="19" t="s">
        <v>44</v>
      </c>
    </row>
    <row r="16" spans="1:59" ht="13.5" customHeight="1">
      <c r="A16" s="8"/>
      <c r="B16" s="172" t="s">
        <v>39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8"/>
      <c r="AY16" s="17">
        <v>160</v>
      </c>
      <c r="AZ16" s="7" t="s">
        <v>12</v>
      </c>
      <c r="BA16" s="108">
        <f>BE16</f>
        <v>155000</v>
      </c>
      <c r="BB16" s="107" t="s">
        <v>32</v>
      </c>
      <c r="BC16" s="107" t="s">
        <v>32</v>
      </c>
      <c r="BD16" s="107" t="s">
        <v>32</v>
      </c>
      <c r="BE16" s="108">
        <f>60000+95000</f>
        <v>155000</v>
      </c>
      <c r="BF16" s="108">
        <v>0</v>
      </c>
      <c r="BG16" s="19" t="s">
        <v>40</v>
      </c>
    </row>
    <row r="17" spans="1:60" ht="18" customHeight="1">
      <c r="A17" s="8"/>
      <c r="B17" s="172" t="s">
        <v>41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Y17" s="17">
        <v>180</v>
      </c>
      <c r="AZ17" s="18" t="s">
        <v>59</v>
      </c>
      <c r="BA17" s="108">
        <f>BE17</f>
        <v>0</v>
      </c>
      <c r="BB17" s="107" t="s">
        <v>32</v>
      </c>
      <c r="BC17" s="107" t="s">
        <v>32</v>
      </c>
      <c r="BD17" s="107" t="s">
        <v>32</v>
      </c>
      <c r="BE17" s="108">
        <v>0</v>
      </c>
      <c r="BF17" s="107">
        <v>0</v>
      </c>
    </row>
    <row r="18" spans="1:60" ht="12" customHeight="1">
      <c r="A18" s="20"/>
      <c r="B18" s="172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17"/>
      <c r="AZ18" s="18"/>
      <c r="BA18" s="108"/>
      <c r="BB18" s="107"/>
      <c r="BC18" s="107"/>
      <c r="BD18" s="107"/>
      <c r="BE18" s="108"/>
      <c r="BF18" s="108"/>
    </row>
    <row r="19" spans="1:60" ht="25.5" customHeight="1">
      <c r="A19" s="6"/>
      <c r="B19" s="198" t="s">
        <v>45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200"/>
      <c r="AY19" s="21">
        <v>200</v>
      </c>
      <c r="AZ19" s="22" t="s">
        <v>32</v>
      </c>
      <c r="BA19" s="114">
        <f>BA20+BA26+BA29+BA34+BA36+BA37</f>
        <v>11901144</v>
      </c>
      <c r="BB19" s="114">
        <f>BB20+BB26+BB29+BB34+BB36+BB37</f>
        <v>10772824</v>
      </c>
      <c r="BC19" s="114">
        <f t="shared" ref="BC19:BE19" si="0">BC20+BC26+BC29+BC34+BC36+BC37</f>
        <v>447320</v>
      </c>
      <c r="BD19" s="114">
        <f t="shared" si="0"/>
        <v>0</v>
      </c>
      <c r="BE19" s="114">
        <f t="shared" si="0"/>
        <v>681000</v>
      </c>
      <c r="BF19" s="114">
        <f>BF20+BF26+BF29+BF34+BF36+BF37</f>
        <v>0</v>
      </c>
      <c r="BG19" s="118">
        <f>11901144-BA19</f>
        <v>0</v>
      </c>
      <c r="BH19" s="57"/>
    </row>
    <row r="20" spans="1:60" ht="36" customHeight="1">
      <c r="A20" s="8"/>
      <c r="B20" s="174" t="s">
        <v>46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1"/>
      <c r="AY20" s="23">
        <v>210</v>
      </c>
      <c r="AZ20" s="25"/>
      <c r="BA20" s="115">
        <f>BA21+BA24+BA25</f>
        <v>8618483</v>
      </c>
      <c r="BB20" s="115">
        <f t="shared" ref="BB20:BF20" si="1">BB21+BB24+BB25</f>
        <v>8395163</v>
      </c>
      <c r="BC20" s="115">
        <f t="shared" si="1"/>
        <v>34320</v>
      </c>
      <c r="BD20" s="115">
        <f t="shared" si="1"/>
        <v>0</v>
      </c>
      <c r="BE20" s="115">
        <f t="shared" si="1"/>
        <v>189000</v>
      </c>
      <c r="BF20" s="115">
        <f t="shared" si="1"/>
        <v>0</v>
      </c>
    </row>
    <row r="21" spans="1:60" ht="35.25" customHeight="1">
      <c r="A21" s="8"/>
      <c r="B21" s="174" t="s">
        <v>47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1"/>
      <c r="AY21" s="23">
        <v>211</v>
      </c>
      <c r="AZ21" s="24"/>
      <c r="BA21" s="115">
        <f>BA22+BA23</f>
        <v>8564090</v>
      </c>
      <c r="BB21" s="115">
        <f t="shared" ref="BB21:BF21" si="2">BB22+BB23</f>
        <v>8375090</v>
      </c>
      <c r="BC21" s="115">
        <f t="shared" si="2"/>
        <v>0</v>
      </c>
      <c r="BD21" s="115">
        <f t="shared" si="2"/>
        <v>0</v>
      </c>
      <c r="BE21" s="115">
        <f>BE22+BE23</f>
        <v>189000</v>
      </c>
      <c r="BF21" s="115">
        <f t="shared" si="2"/>
        <v>0</v>
      </c>
    </row>
    <row r="22" spans="1:60" ht="12.75">
      <c r="A22" s="10"/>
      <c r="B22" s="11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17"/>
      <c r="AZ22" s="18" t="s">
        <v>19</v>
      </c>
      <c r="BA22" s="108">
        <f>BB22+BC22+BD22+BE22</f>
        <v>6612667</v>
      </c>
      <c r="BB22" s="108">
        <v>6467667</v>
      </c>
      <c r="BC22" s="108">
        <v>0</v>
      </c>
      <c r="BD22" s="108">
        <v>0</v>
      </c>
      <c r="BE22" s="108">
        <v>145000</v>
      </c>
      <c r="BF22" s="108">
        <v>0</v>
      </c>
    </row>
    <row r="23" spans="1:60" ht="12.75">
      <c r="A23" s="49"/>
      <c r="B23" s="50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  <c r="AY23" s="17"/>
      <c r="AZ23" s="18" t="s">
        <v>20</v>
      </c>
      <c r="BA23" s="108">
        <f>BB23+BC23+BD23+BE23</f>
        <v>1951423</v>
      </c>
      <c r="BB23" s="108">
        <v>1907423</v>
      </c>
      <c r="BC23" s="108">
        <v>0</v>
      </c>
      <c r="BD23" s="108">
        <v>0</v>
      </c>
      <c r="BE23" s="108">
        <v>44000</v>
      </c>
      <c r="BF23" s="108">
        <v>0</v>
      </c>
    </row>
    <row r="24" spans="1:60" ht="12.75">
      <c r="A24" s="49"/>
      <c r="B24" s="50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8"/>
      <c r="AY24" s="17"/>
      <c r="AZ24" s="18" t="s">
        <v>18</v>
      </c>
      <c r="BA24" s="108">
        <f>BB24+BC24+BD24+BE24</f>
        <v>54393</v>
      </c>
      <c r="BB24" s="108">
        <f>3073+17000</f>
        <v>20073</v>
      </c>
      <c r="BC24" s="108">
        <v>34320</v>
      </c>
      <c r="BD24" s="108">
        <v>0</v>
      </c>
      <c r="BE24" s="108">
        <v>0</v>
      </c>
      <c r="BF24" s="108">
        <v>0</v>
      </c>
    </row>
    <row r="25" spans="1:60" ht="12.75">
      <c r="A25" s="49"/>
      <c r="B25" s="50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8"/>
      <c r="AY25" s="17"/>
      <c r="AZ25" s="18" t="s">
        <v>24</v>
      </c>
      <c r="BA25" s="108">
        <f>BB25+BC25+BD25+BE25</f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</row>
    <row r="26" spans="1:60" ht="33" customHeight="1">
      <c r="A26" s="8"/>
      <c r="B26" s="174" t="s">
        <v>48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1"/>
      <c r="AY26" s="23">
        <v>220</v>
      </c>
      <c r="AZ26" s="25"/>
      <c r="BA26" s="115">
        <f>BA28</f>
        <v>0</v>
      </c>
      <c r="BB26" s="115">
        <f t="shared" ref="BB26:BF26" si="3">BB28</f>
        <v>0</v>
      </c>
      <c r="BC26" s="115">
        <f t="shared" si="3"/>
        <v>0</v>
      </c>
      <c r="BD26" s="115">
        <f t="shared" si="3"/>
        <v>0</v>
      </c>
      <c r="BE26" s="115">
        <f t="shared" si="3"/>
        <v>0</v>
      </c>
      <c r="BF26" s="115">
        <f t="shared" si="3"/>
        <v>0</v>
      </c>
    </row>
    <row r="27" spans="1:60" ht="12.75">
      <c r="A27" s="10"/>
      <c r="B27" s="11"/>
      <c r="C27" s="167" t="s">
        <v>16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8"/>
      <c r="AY27" s="17"/>
      <c r="AZ27" s="7"/>
      <c r="BA27" s="108"/>
      <c r="BB27" s="108"/>
      <c r="BC27" s="108"/>
      <c r="BD27" s="108"/>
      <c r="BE27" s="108"/>
      <c r="BF27" s="108"/>
    </row>
    <row r="28" spans="1:60" ht="12.75">
      <c r="A28" s="49"/>
      <c r="B28" s="50"/>
      <c r="C28" s="172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17"/>
      <c r="AZ28" s="18" t="s">
        <v>21</v>
      </c>
      <c r="BA28" s="108">
        <f>BB28+BC28+BD28+BE28</f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</row>
    <row r="29" spans="1:60" ht="21.95" customHeight="1">
      <c r="A29" s="49"/>
      <c r="B29" s="50"/>
      <c r="C29" s="174" t="s">
        <v>49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23">
        <v>230</v>
      </c>
      <c r="AZ29" s="25"/>
      <c r="BA29" s="115">
        <f>BA31+BA32+BA33</f>
        <v>235045</v>
      </c>
      <c r="BB29" s="115">
        <f>BB31+BB32+BB33</f>
        <v>235045</v>
      </c>
      <c r="BC29" s="115">
        <f t="shared" ref="BC29:BE29" si="4">BC31+BC32+BC33</f>
        <v>0</v>
      </c>
      <c r="BD29" s="115">
        <f t="shared" si="4"/>
        <v>0</v>
      </c>
      <c r="BE29" s="115">
        <f t="shared" si="4"/>
        <v>0</v>
      </c>
      <c r="BF29" s="115">
        <f>BF31+BF32+BF33</f>
        <v>0</v>
      </c>
    </row>
    <row r="30" spans="1:60" ht="10.5" customHeight="1">
      <c r="A30" s="49"/>
      <c r="B30" s="50"/>
      <c r="C30" s="167" t="s">
        <v>16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8"/>
      <c r="AY30" s="17"/>
      <c r="AZ30" s="7"/>
      <c r="BA30" s="108"/>
      <c r="BB30" s="108"/>
      <c r="BC30" s="108"/>
      <c r="BD30" s="108"/>
      <c r="BE30" s="108"/>
      <c r="BF30" s="108"/>
    </row>
    <row r="31" spans="1:60" ht="12.75">
      <c r="A31" s="8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8"/>
      <c r="AY31" s="17"/>
      <c r="AZ31" s="18" t="s">
        <v>25</v>
      </c>
      <c r="BA31" s="108">
        <f>BB31+BC31+BD31+BE31</f>
        <v>211419</v>
      </c>
      <c r="BB31" s="108">
        <v>211419</v>
      </c>
      <c r="BC31" s="108">
        <v>0</v>
      </c>
      <c r="BD31" s="108"/>
      <c r="BE31" s="108">
        <v>0</v>
      </c>
      <c r="BF31" s="108">
        <v>0</v>
      </c>
    </row>
    <row r="32" spans="1:60" ht="12.75">
      <c r="A32" s="10"/>
      <c r="B32" s="1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8"/>
      <c r="AY32" s="17"/>
      <c r="AZ32" s="18" t="s">
        <v>22</v>
      </c>
      <c r="BA32" s="108">
        <f>BB32+BC32+BD32+BE32</f>
        <v>23626</v>
      </c>
      <c r="BB32" s="108">
        <f>2572+21054</f>
        <v>23626</v>
      </c>
      <c r="BC32" s="108">
        <v>0</v>
      </c>
      <c r="BD32" s="108"/>
      <c r="BE32" s="108">
        <v>0</v>
      </c>
      <c r="BF32" s="108">
        <v>0</v>
      </c>
    </row>
    <row r="33" spans="1:59" ht="12.75">
      <c r="A33" s="49"/>
      <c r="B33" s="50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8"/>
      <c r="AY33" s="17"/>
      <c r="AZ33" s="18" t="s">
        <v>23</v>
      </c>
      <c r="BA33" s="108">
        <f t="shared" ref="BA33" si="5">BB33+BC33+BD33+BE33</f>
        <v>0</v>
      </c>
      <c r="BB33" s="108"/>
      <c r="BC33" s="108">
        <v>0</v>
      </c>
      <c r="BD33" s="108"/>
      <c r="BE33" s="108">
        <v>0</v>
      </c>
      <c r="BF33" s="108">
        <v>0</v>
      </c>
    </row>
    <row r="34" spans="1:59" ht="23.25" customHeight="1">
      <c r="A34" s="49"/>
      <c r="B34" s="50"/>
      <c r="C34" s="174" t="s">
        <v>50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/>
      <c r="AY34" s="23">
        <v>240</v>
      </c>
      <c r="AZ34" s="25"/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</row>
    <row r="35" spans="1:59" ht="11.1" customHeight="1">
      <c r="A35" s="49"/>
      <c r="B35" s="50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8"/>
      <c r="AY35" s="17"/>
      <c r="AZ35" s="7"/>
      <c r="BA35" s="108"/>
      <c r="BB35" s="108"/>
      <c r="BC35" s="108"/>
      <c r="BD35" s="108"/>
      <c r="BE35" s="108"/>
      <c r="BF35" s="108"/>
    </row>
    <row r="36" spans="1:59" ht="23.25" customHeight="1">
      <c r="A36" s="49"/>
      <c r="B36" s="50"/>
      <c r="C36" s="174" t="s">
        <v>51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1"/>
      <c r="AY36" s="23">
        <v>250</v>
      </c>
      <c r="AZ36" s="24" t="s">
        <v>61</v>
      </c>
      <c r="BA36" s="115">
        <f>BD36</f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9" t="s">
        <v>62</v>
      </c>
    </row>
    <row r="37" spans="1:59" ht="32.25" customHeight="1">
      <c r="A37" s="8"/>
      <c r="B37" s="174" t="s">
        <v>60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23">
        <v>260</v>
      </c>
      <c r="AZ37" s="24" t="s">
        <v>17</v>
      </c>
      <c r="BA37" s="115">
        <f>BB37+BC37+BD37+BE37</f>
        <v>3047616</v>
      </c>
      <c r="BB37" s="115">
        <f>25219+58000+872376+550244+25879+188741+285829+98948+23684+13696</f>
        <v>2142616</v>
      </c>
      <c r="BC37" s="115">
        <v>413000</v>
      </c>
      <c r="BD37" s="115">
        <v>0</v>
      </c>
      <c r="BE37" s="115">
        <f>13000+9000+2000+30000+45000+19000+14000+60000+15000+25000+16000+25000+11000+60000+2000+16000+25000+78000+11000+1000+15000</f>
        <v>492000</v>
      </c>
      <c r="BF37" s="115">
        <v>0</v>
      </c>
    </row>
    <row r="38" spans="1:59" ht="12.75">
      <c r="A38" s="10"/>
      <c r="B38" s="1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17"/>
      <c r="AZ38" s="7"/>
      <c r="BA38" s="108"/>
      <c r="BB38" s="108"/>
      <c r="BC38" s="108"/>
      <c r="BD38" s="108"/>
      <c r="BE38" s="108"/>
      <c r="BF38" s="108"/>
    </row>
    <row r="39" spans="1:59" ht="11.1" customHeight="1">
      <c r="A39" s="49"/>
      <c r="B39" s="50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8"/>
      <c r="AY39" s="17"/>
      <c r="AZ39" s="7"/>
      <c r="BA39" s="108"/>
      <c r="BB39" s="108"/>
      <c r="BC39" s="108"/>
      <c r="BD39" s="108"/>
      <c r="BE39" s="108"/>
      <c r="BF39" s="108"/>
    </row>
    <row r="40" spans="1:59" ht="22.5" customHeight="1">
      <c r="A40" s="8"/>
      <c r="B40" s="172" t="s">
        <v>52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8"/>
      <c r="AY40" s="17">
        <v>300</v>
      </c>
      <c r="AZ40" s="18" t="s">
        <v>32</v>
      </c>
      <c r="BA40" s="108">
        <f t="shared" ref="BA40:BA45" si="6">BB40+BC40+BD40+BF40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5.5" customHeight="1">
      <c r="A41" s="10"/>
      <c r="B41" s="11"/>
      <c r="C41" s="172" t="s">
        <v>53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8"/>
      <c r="AY41" s="17">
        <v>310</v>
      </c>
      <c r="AZ41" s="7"/>
      <c r="BA41" s="108">
        <f t="shared" si="6"/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</row>
    <row r="42" spans="1:59" ht="14.25" customHeight="1">
      <c r="A42" s="49"/>
      <c r="B42" s="50"/>
      <c r="C42" s="172" t="s">
        <v>54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3"/>
      <c r="AY42" s="17">
        <v>320</v>
      </c>
      <c r="AZ42" s="7"/>
      <c r="BA42" s="108">
        <f t="shared" si="6"/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</row>
    <row r="43" spans="1:59" ht="21.95" customHeight="1">
      <c r="A43" s="49"/>
      <c r="B43" s="50"/>
      <c r="C43" s="172" t="s">
        <v>55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3"/>
      <c r="AY43" s="17">
        <v>400</v>
      </c>
      <c r="AZ43" s="7"/>
      <c r="BA43" s="108">
        <f t="shared" si="6"/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</row>
    <row r="44" spans="1:59" ht="21.95" customHeight="1">
      <c r="A44" s="49"/>
      <c r="B44" s="50"/>
      <c r="C44" s="172" t="s">
        <v>56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3"/>
      <c r="AY44" s="17">
        <v>410</v>
      </c>
      <c r="AZ44" s="7"/>
      <c r="BA44" s="108">
        <f t="shared" si="6"/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</row>
    <row r="45" spans="1:59" ht="12" customHeight="1">
      <c r="A45" s="49"/>
      <c r="B45" s="50"/>
      <c r="C45" s="172" t="s">
        <v>57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3"/>
      <c r="AY45" s="17">
        <v>420</v>
      </c>
      <c r="AZ45" s="7"/>
      <c r="BA45" s="108">
        <f t="shared" si="6"/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</row>
    <row r="46" spans="1:59" ht="11.1" customHeight="1">
      <c r="A46" s="49"/>
      <c r="B46" s="169" t="s">
        <v>26</v>
      </c>
      <c r="C46" s="170" t="s">
        <v>11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1"/>
      <c r="AY46" s="23" t="s">
        <v>27</v>
      </c>
      <c r="AZ46" s="24" t="s">
        <v>32</v>
      </c>
      <c r="BA46" s="115">
        <f>BB46+BC46+BD46+BE46</f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</row>
    <row r="47" spans="1:59" ht="10.5" customHeight="1">
      <c r="A47" s="49"/>
      <c r="B47" s="166" t="s">
        <v>28</v>
      </c>
      <c r="C47" s="167" t="s">
        <v>11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8"/>
      <c r="AY47" s="17" t="s">
        <v>29</v>
      </c>
      <c r="AZ47" s="18" t="s">
        <v>32</v>
      </c>
      <c r="BA47" s="108">
        <f>BB47+BC47+BD47+BF47</f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</row>
    <row r="48" spans="1:59" ht="42" customHeight="1">
      <c r="A48" s="196" t="s">
        <v>63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BA48" s="26">
        <f>BA19-BA9-BA46</f>
        <v>0</v>
      </c>
      <c r="BB48" s="26">
        <f t="shared" ref="BB48:BF48" si="7">BB19-BB9-BB46</f>
        <v>0</v>
      </c>
      <c r="BC48" s="26">
        <f t="shared" si="7"/>
        <v>0</v>
      </c>
      <c r="BD48" s="26">
        <f t="shared" si="7"/>
        <v>0</v>
      </c>
      <c r="BE48" s="26">
        <f t="shared" si="7"/>
        <v>0</v>
      </c>
      <c r="BF48" s="26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tabSelected="1" topLeftCell="A7" zoomScale="63" zoomScaleNormal="63" workbookViewId="0">
      <selection activeCell="F17" sqref="F17"/>
    </sheetView>
  </sheetViews>
  <sheetFormatPr defaultRowHeight="18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105" customWidth="1"/>
  </cols>
  <sheetData>
    <row r="1" spans="1:13" ht="18.75">
      <c r="A1" s="163" t="s">
        <v>105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18.75">
      <c r="A2" s="163" t="s">
        <v>106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3" ht="18.75">
      <c r="A3" s="163" t="s">
        <v>163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3" ht="18.75">
      <c r="A4" s="75"/>
    </row>
    <row r="5" spans="1:13" ht="18.75">
      <c r="A5" s="75"/>
    </row>
    <row r="6" spans="1:13" ht="15.75" customHeight="1">
      <c r="A6" s="202" t="s">
        <v>107</v>
      </c>
      <c r="B6" s="202" t="s">
        <v>108</v>
      </c>
      <c r="C6" s="202" t="s">
        <v>109</v>
      </c>
      <c r="D6" s="202" t="s">
        <v>110</v>
      </c>
      <c r="E6" s="202"/>
      <c r="F6" s="202"/>
      <c r="G6" s="202"/>
      <c r="H6" s="202"/>
      <c r="I6" s="202"/>
      <c r="J6" s="202"/>
      <c r="K6" s="202"/>
      <c r="L6" s="202"/>
    </row>
    <row r="7" spans="1:13">
      <c r="A7" s="202"/>
      <c r="B7" s="202"/>
      <c r="C7" s="202"/>
      <c r="D7" s="202" t="s">
        <v>111</v>
      </c>
      <c r="E7" s="202"/>
      <c r="F7" s="202"/>
      <c r="G7" s="202"/>
      <c r="H7" s="202"/>
      <c r="I7" s="202"/>
      <c r="J7" s="202"/>
      <c r="K7" s="202"/>
      <c r="L7" s="202"/>
    </row>
    <row r="8" spans="1:13">
      <c r="A8" s="202"/>
      <c r="B8" s="202"/>
      <c r="C8" s="202"/>
      <c r="D8" s="202" t="s">
        <v>112</v>
      </c>
      <c r="E8" s="202"/>
      <c r="F8" s="202"/>
      <c r="G8" s="202" t="s">
        <v>4</v>
      </c>
      <c r="H8" s="202"/>
      <c r="I8" s="202"/>
      <c r="J8" s="202"/>
      <c r="K8" s="202"/>
      <c r="L8" s="202"/>
    </row>
    <row r="9" spans="1:13" ht="102" customHeight="1">
      <c r="A9" s="202"/>
      <c r="B9" s="202"/>
      <c r="C9" s="202"/>
      <c r="D9" s="202"/>
      <c r="E9" s="202"/>
      <c r="F9" s="202"/>
      <c r="G9" s="203" t="s">
        <v>113</v>
      </c>
      <c r="H9" s="203"/>
      <c r="I9" s="203"/>
      <c r="J9" s="203" t="s">
        <v>114</v>
      </c>
      <c r="K9" s="203"/>
      <c r="L9" s="203"/>
    </row>
    <row r="10" spans="1:13" ht="118.5" customHeight="1">
      <c r="A10" s="202"/>
      <c r="B10" s="202"/>
      <c r="C10" s="202"/>
      <c r="D10" s="97" t="s">
        <v>160</v>
      </c>
      <c r="E10" s="97" t="s">
        <v>161</v>
      </c>
      <c r="F10" s="97" t="s">
        <v>162</v>
      </c>
      <c r="G10" s="97" t="s">
        <v>160</v>
      </c>
      <c r="H10" s="97" t="s">
        <v>161</v>
      </c>
      <c r="I10" s="97" t="s">
        <v>162</v>
      </c>
      <c r="J10" s="97" t="s">
        <v>160</v>
      </c>
      <c r="K10" s="97" t="s">
        <v>161</v>
      </c>
      <c r="L10" s="97" t="s">
        <v>162</v>
      </c>
      <c r="M10" s="105" t="s">
        <v>188</v>
      </c>
    </row>
    <row r="11" spans="1:13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</row>
    <row r="12" spans="1:13" ht="31.5">
      <c r="A12" s="79" t="s">
        <v>115</v>
      </c>
      <c r="B12" s="86">
        <v>1</v>
      </c>
      <c r="C12" s="86" t="s">
        <v>116</v>
      </c>
      <c r="D12" s="117">
        <v>5930017.3700000001</v>
      </c>
      <c r="E12" s="117">
        <f>3041616</f>
        <v>3041616</v>
      </c>
      <c r="F12" s="117">
        <f>3047616</f>
        <v>3047616</v>
      </c>
      <c r="G12" s="117">
        <f>D12</f>
        <v>5930017.3700000001</v>
      </c>
      <c r="H12" s="117">
        <f>E12</f>
        <v>3041616</v>
      </c>
      <c r="I12" s="117">
        <f>F12</f>
        <v>3047616</v>
      </c>
      <c r="J12" s="117">
        <v>0</v>
      </c>
      <c r="K12" s="117">
        <v>0</v>
      </c>
      <c r="L12" s="117">
        <v>0</v>
      </c>
      <c r="M12" s="106">
        <f>'3'!BA37-'4'!D12</f>
        <v>0</v>
      </c>
    </row>
    <row r="13" spans="1:13" ht="72" customHeight="1">
      <c r="A13" s="79" t="s">
        <v>117</v>
      </c>
      <c r="B13" s="86">
        <v>1001</v>
      </c>
      <c r="C13" s="86" t="s">
        <v>116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9">
        <f>'3 (2)'!BA37-'4'!E12</f>
        <v>0</v>
      </c>
    </row>
    <row r="14" spans="1:13" s="48" customFormat="1" ht="23.25" customHeight="1">
      <c r="A14" s="79" t="s">
        <v>169</v>
      </c>
      <c r="B14" s="86"/>
      <c r="C14" s="86"/>
      <c r="D14" s="117">
        <f>55302.97+22164+10000</f>
        <v>87466.97</v>
      </c>
      <c r="E14" s="117">
        <v>41219</v>
      </c>
      <c r="F14" s="117">
        <v>41219</v>
      </c>
      <c r="G14" s="117">
        <f>55302.97+22164+10000</f>
        <v>87466.97</v>
      </c>
      <c r="H14" s="117">
        <v>41219</v>
      </c>
      <c r="I14" s="117">
        <v>41219</v>
      </c>
      <c r="J14" s="117">
        <v>0</v>
      </c>
      <c r="K14" s="117">
        <v>0</v>
      </c>
      <c r="L14" s="117">
        <v>0</v>
      </c>
      <c r="M14" s="119"/>
    </row>
    <row r="15" spans="1:13" s="48" customFormat="1" ht="36.75" customHeight="1">
      <c r="A15" s="79" t="s">
        <v>187</v>
      </c>
      <c r="B15" s="86"/>
      <c r="C15" s="86"/>
      <c r="D15" s="117">
        <v>0</v>
      </c>
      <c r="E15" s="117">
        <v>58000</v>
      </c>
      <c r="F15" s="117">
        <v>58000</v>
      </c>
      <c r="G15" s="117">
        <v>0</v>
      </c>
      <c r="H15" s="117">
        <v>58000</v>
      </c>
      <c r="I15" s="117">
        <v>58000</v>
      </c>
      <c r="J15" s="117">
        <v>0</v>
      </c>
      <c r="K15" s="117">
        <v>0</v>
      </c>
      <c r="L15" s="117">
        <v>0</v>
      </c>
      <c r="M15" s="119"/>
    </row>
    <row r="16" spans="1:13" s="48" customFormat="1" ht="36.75" customHeight="1">
      <c r="A16" s="79" t="s">
        <v>170</v>
      </c>
      <c r="B16" s="86"/>
      <c r="C16" s="86"/>
      <c r="D16" s="117">
        <f>1067025.17+613824.44+53423.94+13000+9000+2000+12000+72411.41+2160</f>
        <v>1844844.9599999997</v>
      </c>
      <c r="E16" s="117">
        <v>1545499</v>
      </c>
      <c r="F16" s="117">
        <v>1545499</v>
      </c>
      <c r="G16" s="117">
        <f>1067025.17+613824.44+53423.94+13000+9000+2000+12000+72411.41+2160</f>
        <v>1844844.9599999997</v>
      </c>
      <c r="H16" s="117">
        <v>1545499</v>
      </c>
      <c r="I16" s="117">
        <v>1545499</v>
      </c>
      <c r="J16" s="117">
        <v>0</v>
      </c>
      <c r="K16" s="117">
        <v>0</v>
      </c>
      <c r="L16" s="117">
        <v>0</v>
      </c>
      <c r="M16" s="119"/>
    </row>
    <row r="17" spans="1:13" s="48" customFormat="1" ht="39.75" customHeight="1">
      <c r="A17" s="79" t="s">
        <v>171</v>
      </c>
      <c r="B17" s="86"/>
      <c r="C17" s="86"/>
      <c r="D17" s="117">
        <v>3085177.94</v>
      </c>
      <c r="E17" s="117">
        <v>318741</v>
      </c>
      <c r="F17" s="117">
        <v>318741</v>
      </c>
      <c r="G17" s="117">
        <v>3085177.94</v>
      </c>
      <c r="H17" s="117">
        <v>318741</v>
      </c>
      <c r="I17" s="117">
        <v>318741</v>
      </c>
      <c r="J17" s="117">
        <v>0</v>
      </c>
      <c r="K17" s="117">
        <v>0</v>
      </c>
      <c r="L17" s="117">
        <v>0</v>
      </c>
      <c r="M17" s="119"/>
    </row>
    <row r="18" spans="1:13" s="48" customFormat="1" ht="37.5" customHeight="1">
      <c r="A18" s="79" t="s">
        <v>172</v>
      </c>
      <c r="B18" s="86"/>
      <c r="C18" s="86"/>
      <c r="D18" s="117">
        <v>632593.65</v>
      </c>
      <c r="E18" s="117">
        <v>864513</v>
      </c>
      <c r="F18" s="117">
        <v>870513</v>
      </c>
      <c r="G18" s="117">
        <v>632593.65</v>
      </c>
      <c r="H18" s="117">
        <v>864513</v>
      </c>
      <c r="I18" s="117">
        <v>870513</v>
      </c>
      <c r="J18" s="117">
        <v>0</v>
      </c>
      <c r="K18" s="117">
        <v>0</v>
      </c>
      <c r="L18" s="117">
        <v>0</v>
      </c>
      <c r="M18" s="119"/>
    </row>
    <row r="19" spans="1:13" s="48" customFormat="1" ht="24.75" customHeight="1">
      <c r="A19" s="79" t="s">
        <v>173</v>
      </c>
      <c r="B19" s="86"/>
      <c r="C19" s="86"/>
      <c r="D19" s="117">
        <v>13696</v>
      </c>
      <c r="E19" s="117">
        <v>13696</v>
      </c>
      <c r="F19" s="117">
        <v>13696</v>
      </c>
      <c r="G19" s="117">
        <v>13696</v>
      </c>
      <c r="H19" s="117">
        <v>13696</v>
      </c>
      <c r="I19" s="117">
        <v>13696</v>
      </c>
      <c r="J19" s="117">
        <v>0</v>
      </c>
      <c r="K19" s="117">
        <v>0</v>
      </c>
      <c r="L19" s="117">
        <v>0</v>
      </c>
      <c r="M19" s="119"/>
    </row>
    <row r="20" spans="1:13" s="48" customFormat="1" ht="34.5" customHeight="1">
      <c r="A20" s="79" t="s">
        <v>174</v>
      </c>
      <c r="B20" s="86"/>
      <c r="C20" s="86"/>
      <c r="D20" s="117">
        <f>244.75+16000</f>
        <v>16244.75</v>
      </c>
      <c r="E20" s="117">
        <v>46000</v>
      </c>
      <c r="F20" s="117">
        <v>46000</v>
      </c>
      <c r="G20" s="117">
        <f>244.75+16000</f>
        <v>16244.75</v>
      </c>
      <c r="H20" s="117">
        <v>46000</v>
      </c>
      <c r="I20" s="117">
        <v>46000</v>
      </c>
      <c r="J20" s="117">
        <v>0</v>
      </c>
      <c r="K20" s="117">
        <v>0</v>
      </c>
      <c r="L20" s="117">
        <v>0</v>
      </c>
      <c r="M20" s="119"/>
    </row>
    <row r="21" spans="1:13" ht="42" customHeight="1">
      <c r="A21" s="79" t="s">
        <v>175</v>
      </c>
      <c r="B21" s="79"/>
      <c r="C21" s="79"/>
      <c r="D21" s="102">
        <v>249993.1</v>
      </c>
      <c r="E21" s="102">
        <v>153948</v>
      </c>
      <c r="F21" s="102">
        <v>153948</v>
      </c>
      <c r="G21" s="102">
        <v>249993.1</v>
      </c>
      <c r="H21" s="102">
        <v>153948</v>
      </c>
      <c r="I21" s="102">
        <v>153948</v>
      </c>
      <c r="J21" s="102">
        <v>0</v>
      </c>
      <c r="K21" s="102">
        <v>0</v>
      </c>
      <c r="L21" s="102">
        <v>0</v>
      </c>
      <c r="M21" s="119">
        <f>'3 (3)'!BA37-'4'!F12</f>
        <v>0</v>
      </c>
    </row>
    <row r="22" spans="1:13" ht="33.75" customHeight="1">
      <c r="A22" s="79" t="s">
        <v>118</v>
      </c>
      <c r="B22" s="86">
        <v>2001</v>
      </c>
      <c r="C22" s="79"/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3">
      <c r="A23" s="79"/>
      <c r="B23" s="79"/>
      <c r="C23" s="79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3" ht="18.75" customHeight="1">
      <c r="A24" s="84"/>
      <c r="D24" s="121">
        <f>D12-D14-D16-D17-D18-D19-D20-D21</f>
        <v>4.3655745685100555E-10</v>
      </c>
      <c r="E24" s="131">
        <f>E12-E14-E15-E16-E17-E18-E19-E20-E21</f>
        <v>0</v>
      </c>
      <c r="F24" s="131">
        <f>F12-F14-F15-F16-F17-F18-F20-F19-F21</f>
        <v>0</v>
      </c>
    </row>
    <row r="25" spans="1:13">
      <c r="E25" s="129"/>
      <c r="F25" s="129"/>
    </row>
    <row r="26" spans="1:13">
      <c r="E26" s="129"/>
      <c r="F26" s="129"/>
    </row>
    <row r="27" spans="1:13">
      <c r="E27" s="129"/>
      <c r="F27" s="129"/>
    </row>
    <row r="28" spans="1:13">
      <c r="E28" s="129"/>
      <c r="F28" s="129"/>
    </row>
    <row r="29" spans="1:13">
      <c r="E29" s="129"/>
      <c r="F29" s="129"/>
    </row>
    <row r="30" spans="1:13">
      <c r="E30" s="129"/>
      <c r="F30" s="129"/>
    </row>
    <row r="31" spans="1:13">
      <c r="E31" s="129"/>
      <c r="F31" s="129"/>
    </row>
    <row r="32" spans="1:13">
      <c r="E32" s="129"/>
      <c r="F32" s="129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7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view="pageBreakPreview" zoomScale="73" zoomScaleNormal="100" zoomScaleSheetLayoutView="73" workbookViewId="0">
      <selection activeCell="L15" sqref="L15"/>
    </sheetView>
  </sheetViews>
  <sheetFormatPr defaultRowHeight="12.75"/>
  <cols>
    <col min="1" max="1" width="48" customWidth="1"/>
    <col min="2" max="2" width="12" customWidth="1"/>
    <col min="3" max="3" width="24.7109375" customWidth="1"/>
  </cols>
  <sheetData>
    <row r="1" spans="1:4" ht="18.75">
      <c r="A1" s="163" t="s">
        <v>119</v>
      </c>
      <c r="B1" s="163"/>
      <c r="C1" s="163"/>
    </row>
    <row r="2" spans="1:4" ht="18.75">
      <c r="A2" s="163" t="s">
        <v>120</v>
      </c>
      <c r="B2" s="163"/>
      <c r="C2" s="163"/>
      <c r="D2" s="19" t="s">
        <v>189</v>
      </c>
    </row>
    <row r="3" spans="1:4" ht="18.75">
      <c r="A3" s="163" t="s">
        <v>159</v>
      </c>
      <c r="B3" s="163"/>
      <c r="C3" s="163"/>
    </row>
    <row r="4" spans="1:4" ht="18.75">
      <c r="A4" s="163" t="s">
        <v>121</v>
      </c>
      <c r="B4" s="163"/>
      <c r="C4" s="163"/>
    </row>
    <row r="5" spans="1:4" ht="18.75">
      <c r="A5" s="84"/>
    </row>
    <row r="6" spans="1:4" ht="15.75">
      <c r="A6" s="202" t="s">
        <v>0</v>
      </c>
      <c r="B6" s="202" t="s">
        <v>1</v>
      </c>
      <c r="C6" s="85" t="s">
        <v>122</v>
      </c>
    </row>
    <row r="7" spans="1:4" ht="50.25" customHeight="1">
      <c r="A7" s="202"/>
      <c r="B7" s="202"/>
      <c r="C7" s="85" t="s">
        <v>123</v>
      </c>
    </row>
    <row r="8" spans="1:4" ht="15.75">
      <c r="A8" s="85">
        <v>1</v>
      </c>
      <c r="B8" s="85">
        <v>2</v>
      </c>
      <c r="C8" s="85">
        <v>3</v>
      </c>
    </row>
    <row r="9" spans="1:4" ht="27" customHeight="1">
      <c r="A9" s="79" t="s">
        <v>26</v>
      </c>
      <c r="B9" s="85">
        <v>10</v>
      </c>
      <c r="C9" s="102">
        <v>47145.599999999999</v>
      </c>
    </row>
    <row r="10" spans="1:4" ht="27" customHeight="1">
      <c r="A10" s="79" t="s">
        <v>28</v>
      </c>
      <c r="B10" s="85">
        <v>20</v>
      </c>
      <c r="C10" s="102">
        <v>0</v>
      </c>
    </row>
    <row r="11" spans="1:4" ht="27" customHeight="1">
      <c r="A11" s="79" t="s">
        <v>124</v>
      </c>
      <c r="B11" s="85">
        <v>30</v>
      </c>
      <c r="C11" s="102">
        <v>0</v>
      </c>
    </row>
    <row r="12" spans="1:4" ht="27" customHeight="1">
      <c r="A12" s="79"/>
      <c r="B12" s="79"/>
      <c r="C12" s="102"/>
    </row>
    <row r="13" spans="1:4" ht="27" customHeight="1">
      <c r="A13" s="79" t="s">
        <v>125</v>
      </c>
      <c r="B13" s="85">
        <v>40</v>
      </c>
      <c r="C13" s="102">
        <v>47145.599999999999</v>
      </c>
    </row>
    <row r="14" spans="1:4" ht="15.75">
      <c r="A14" s="79"/>
      <c r="B14" s="79"/>
      <c r="C14" s="102"/>
    </row>
    <row r="15" spans="1:4" ht="18.75">
      <c r="A15" s="84"/>
    </row>
    <row r="16" spans="1:4" ht="11.25" customHeight="1">
      <c r="A16" s="84"/>
    </row>
    <row r="17" spans="1:3" ht="11.25" customHeight="1">
      <c r="A17" s="87"/>
    </row>
    <row r="18" spans="1:3" ht="18.75">
      <c r="A18" s="163" t="s">
        <v>126</v>
      </c>
      <c r="B18" s="163"/>
      <c r="C18" s="163"/>
    </row>
    <row r="19" spans="1:3" ht="12.75" customHeight="1">
      <c r="A19" s="76"/>
    </row>
    <row r="20" spans="1:3" ht="30.75" customHeight="1">
      <c r="A20" s="202" t="s">
        <v>0</v>
      </c>
      <c r="B20" s="202" t="s">
        <v>1</v>
      </c>
      <c r="C20" s="85" t="s">
        <v>127</v>
      </c>
    </row>
    <row r="21" spans="1:3" ht="15.75">
      <c r="A21" s="202"/>
      <c r="B21" s="202"/>
      <c r="C21" s="85" t="s">
        <v>128</v>
      </c>
    </row>
    <row r="22" spans="1:3" ht="15.75">
      <c r="A22" s="85">
        <v>1</v>
      </c>
      <c r="B22" s="85">
        <v>2</v>
      </c>
      <c r="C22" s="85">
        <v>3</v>
      </c>
    </row>
    <row r="23" spans="1:3" ht="15.75">
      <c r="A23" s="79" t="s">
        <v>129</v>
      </c>
      <c r="B23" s="85">
        <v>10</v>
      </c>
      <c r="C23" s="102">
        <v>0</v>
      </c>
    </row>
    <row r="24" spans="1:3" ht="90" customHeight="1">
      <c r="A24" s="94" t="s">
        <v>130</v>
      </c>
      <c r="B24" s="85">
        <v>20</v>
      </c>
      <c r="C24" s="102">
        <v>0</v>
      </c>
    </row>
    <row r="25" spans="1:3" ht="18.75">
      <c r="A25" s="87"/>
    </row>
    <row r="26" spans="1:3" s="89" customFormat="1" ht="19.5" customHeight="1">
      <c r="A26" s="92" t="s">
        <v>132</v>
      </c>
    </row>
    <row r="27" spans="1:3" s="89" customFormat="1" ht="19.5" customHeight="1">
      <c r="A27" s="91" t="s">
        <v>131</v>
      </c>
    </row>
    <row r="28" spans="1:3" s="89" customFormat="1" ht="15.75">
      <c r="A28" s="90" t="s">
        <v>133</v>
      </c>
      <c r="B28" s="104" t="s">
        <v>157</v>
      </c>
      <c r="C28" s="104" t="s">
        <v>157</v>
      </c>
    </row>
    <row r="29" spans="1:3" s="89" customFormat="1" ht="21" customHeight="1">
      <c r="A29" s="90"/>
      <c r="B29" s="90" t="s">
        <v>134</v>
      </c>
      <c r="C29" s="90" t="s">
        <v>135</v>
      </c>
    </row>
    <row r="30" spans="1:3" s="89" customFormat="1" ht="10.5" customHeight="1">
      <c r="A30" s="90"/>
    </row>
    <row r="31" spans="1:3" ht="15.75">
      <c r="A31" s="88" t="s">
        <v>136</v>
      </c>
      <c r="B31" s="93"/>
      <c r="C31" s="103" t="s">
        <v>155</v>
      </c>
    </row>
    <row r="32" spans="1:3" ht="16.5" customHeight="1">
      <c r="A32" s="88"/>
      <c r="B32" s="90" t="s">
        <v>134</v>
      </c>
      <c r="C32" s="90" t="s">
        <v>135</v>
      </c>
    </row>
    <row r="33" spans="1:3" ht="15.75">
      <c r="A33" s="88"/>
    </row>
    <row r="34" spans="1:3" ht="15.75">
      <c r="A34" s="88" t="s">
        <v>137</v>
      </c>
      <c r="B34" s="93"/>
      <c r="C34" s="103" t="s">
        <v>155</v>
      </c>
    </row>
    <row r="35" spans="1:3" ht="18.75" customHeight="1">
      <c r="A35" s="88" t="s">
        <v>156</v>
      </c>
      <c r="B35" s="90" t="s">
        <v>134</v>
      </c>
      <c r="C35" s="90" t="s">
        <v>135</v>
      </c>
    </row>
    <row r="36" spans="1:3" ht="15.75">
      <c r="A36" s="88"/>
    </row>
    <row r="37" spans="1:3" ht="26.25" customHeight="1">
      <c r="A37" s="88" t="s">
        <v>158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AC43"/>
  <sheetViews>
    <sheetView topLeftCell="N1" zoomScaleNormal="100" workbookViewId="0">
      <selection activeCell="T32" sqref="T32"/>
    </sheetView>
  </sheetViews>
  <sheetFormatPr defaultRowHeight="12.75"/>
  <cols>
    <col min="1" max="1" width="13.5703125" customWidth="1"/>
    <col min="3" max="3" width="15.140625" customWidth="1"/>
    <col min="4" max="4" width="11.7109375" bestFit="1" customWidth="1"/>
    <col min="5" max="5" width="12.28515625" bestFit="1" customWidth="1"/>
    <col min="6" max="6" width="13.42578125" customWidth="1"/>
    <col min="8" max="8" width="9.7109375" customWidth="1"/>
    <col min="10" max="10" width="9.140625" style="48"/>
    <col min="11" max="11" width="11.5703125" customWidth="1"/>
    <col min="12" max="12" width="12.5703125" customWidth="1"/>
    <col min="13" max="13" width="12.28515625" customWidth="1"/>
    <col min="14" max="14" width="15.140625" customWidth="1"/>
    <col min="15" max="15" width="13.85546875" customWidth="1"/>
    <col min="16" max="18" width="9.42578125" bestFit="1" customWidth="1"/>
    <col min="20" max="20" width="10.42578125" customWidth="1"/>
    <col min="21" max="21" width="13.85546875" customWidth="1"/>
    <col min="22" max="22" width="14.85546875" customWidth="1"/>
    <col min="23" max="24" width="13.42578125" bestFit="1" customWidth="1"/>
    <col min="29" max="29" width="10.140625" customWidth="1"/>
  </cols>
  <sheetData>
    <row r="2" spans="1:29">
      <c r="B2" s="19" t="s">
        <v>176</v>
      </c>
    </row>
    <row r="4" spans="1:29">
      <c r="A4" s="19" t="s">
        <v>141</v>
      </c>
      <c r="B4" s="210" t="s">
        <v>142</v>
      </c>
      <c r="C4" s="212" t="s">
        <v>177</v>
      </c>
      <c r="D4" s="209" t="s">
        <v>178</v>
      </c>
      <c r="E4" s="209"/>
      <c r="F4" s="209"/>
      <c r="G4" s="209"/>
      <c r="H4" s="209"/>
      <c r="I4" s="209"/>
      <c r="J4" s="209"/>
      <c r="K4" s="209"/>
      <c r="L4" s="212" t="s">
        <v>181</v>
      </c>
      <c r="M4" s="209" t="s">
        <v>178</v>
      </c>
      <c r="N4" s="209"/>
      <c r="O4" s="209"/>
      <c r="P4" s="209"/>
      <c r="Q4" s="209"/>
      <c r="R4" s="209"/>
      <c r="S4" s="209"/>
      <c r="T4" s="209"/>
      <c r="U4" s="212" t="s">
        <v>182</v>
      </c>
      <c r="V4" s="209" t="s">
        <v>178</v>
      </c>
      <c r="W4" s="209"/>
      <c r="X4" s="209"/>
      <c r="Y4" s="209"/>
      <c r="Z4" s="209"/>
      <c r="AA4" s="209"/>
      <c r="AB4" s="209"/>
      <c r="AC4" s="209"/>
    </row>
    <row r="5" spans="1:29">
      <c r="B5" s="211"/>
      <c r="C5" s="212"/>
      <c r="D5" s="123">
        <v>4000</v>
      </c>
      <c r="E5" s="127">
        <v>5000</v>
      </c>
      <c r="F5" s="123">
        <v>2001</v>
      </c>
      <c r="G5" s="123">
        <v>2006</v>
      </c>
      <c r="H5" s="123">
        <v>2010</v>
      </c>
      <c r="I5" s="123">
        <v>2011</v>
      </c>
      <c r="J5" s="123">
        <v>2021</v>
      </c>
      <c r="K5" s="123">
        <v>2019</v>
      </c>
      <c r="L5" s="212"/>
      <c r="M5" s="123">
        <v>4000</v>
      </c>
      <c r="N5" s="123">
        <v>5000</v>
      </c>
      <c r="O5" s="123">
        <v>2001</v>
      </c>
      <c r="P5" s="123">
        <v>2006</v>
      </c>
      <c r="Q5" s="123">
        <v>2010</v>
      </c>
      <c r="R5" s="123">
        <v>2011</v>
      </c>
      <c r="S5" s="123">
        <v>2021</v>
      </c>
      <c r="T5" s="123">
        <v>2019</v>
      </c>
      <c r="U5" s="212"/>
      <c r="V5" s="123">
        <v>4000</v>
      </c>
      <c r="W5" s="123">
        <v>5000</v>
      </c>
      <c r="X5" s="123">
        <v>2001</v>
      </c>
      <c r="Y5" s="123">
        <v>2006</v>
      </c>
      <c r="Z5" s="123">
        <v>2010</v>
      </c>
      <c r="AA5" s="123">
        <v>2011</v>
      </c>
      <c r="AB5" s="123">
        <v>2021</v>
      </c>
      <c r="AC5" s="123">
        <v>2019</v>
      </c>
    </row>
    <row r="6" spans="1:29">
      <c r="A6" s="213">
        <v>244</v>
      </c>
      <c r="B6" s="126">
        <v>221</v>
      </c>
      <c r="C6" s="125">
        <f>SUM(D6:K6)</f>
        <v>87466.97</v>
      </c>
      <c r="D6" s="124">
        <v>55302.97</v>
      </c>
      <c r="E6" s="124"/>
      <c r="F6" s="124">
        <v>22164</v>
      </c>
      <c r="G6" s="124"/>
      <c r="H6" s="124"/>
      <c r="I6" s="124"/>
      <c r="J6" s="124"/>
      <c r="K6" s="124">
        <v>10000</v>
      </c>
      <c r="L6" s="125">
        <f>SUM(M6:T6)</f>
        <v>41219</v>
      </c>
      <c r="M6" s="124">
        <v>25219</v>
      </c>
      <c r="N6" s="124"/>
      <c r="O6" s="124"/>
      <c r="P6" s="124"/>
      <c r="Q6" s="124"/>
      <c r="R6" s="124"/>
      <c r="S6" s="124"/>
      <c r="T6" s="124">
        <v>16000</v>
      </c>
      <c r="U6" s="125">
        <f>SUM(V6:AC6)</f>
        <v>41219</v>
      </c>
      <c r="V6" s="124">
        <v>25219</v>
      </c>
      <c r="W6" s="124"/>
      <c r="X6" s="124"/>
      <c r="Y6" s="124"/>
      <c r="Z6" s="124"/>
      <c r="AA6" s="124"/>
      <c r="AB6" s="124"/>
      <c r="AC6" s="124">
        <v>16000</v>
      </c>
    </row>
    <row r="7" spans="1:29">
      <c r="A7" s="213"/>
      <c r="B7" s="126">
        <v>222</v>
      </c>
      <c r="C7" s="125">
        <f t="shared" ref="C7:C14" si="0">SUM(D7:K7)</f>
        <v>0</v>
      </c>
      <c r="D7" s="124">
        <v>0</v>
      </c>
      <c r="E7" s="124"/>
      <c r="F7" s="124"/>
      <c r="G7" s="124"/>
      <c r="H7" s="124"/>
      <c r="I7" s="124"/>
      <c r="J7" s="124"/>
      <c r="K7" s="124"/>
      <c r="L7" s="125">
        <f t="shared" ref="L7:L14" si="1">SUM(M7:T7)</f>
        <v>58000</v>
      </c>
      <c r="M7" s="124">
        <v>58000</v>
      </c>
      <c r="N7" s="124"/>
      <c r="O7" s="124"/>
      <c r="P7" s="124"/>
      <c r="Q7" s="124"/>
      <c r="R7" s="124"/>
      <c r="S7" s="124"/>
      <c r="T7" s="124"/>
      <c r="U7" s="125">
        <f t="shared" ref="U7:U14" si="2">SUM(V7:AC7)</f>
        <v>58000</v>
      </c>
      <c r="V7" s="124">
        <v>58000</v>
      </c>
      <c r="W7" s="124"/>
      <c r="X7" s="124"/>
      <c r="Y7" s="124"/>
      <c r="Z7" s="124"/>
      <c r="AA7" s="124"/>
      <c r="AB7" s="124"/>
      <c r="AC7" s="124"/>
    </row>
    <row r="8" spans="1:29">
      <c r="A8" s="213"/>
      <c r="B8" s="126">
        <v>223</v>
      </c>
      <c r="C8" s="125">
        <f t="shared" si="0"/>
        <v>1844844.9599999997</v>
      </c>
      <c r="D8" s="124">
        <f>1067025.17+613824.44+53423.94</f>
        <v>1734273.5499999998</v>
      </c>
      <c r="E8" s="124"/>
      <c r="F8" s="124">
        <f>13000+9000+2000</f>
        <v>24000</v>
      </c>
      <c r="G8" s="124"/>
      <c r="H8" s="124"/>
      <c r="I8" s="124">
        <f>12000+72411.41+2160</f>
        <v>86571.41</v>
      </c>
      <c r="J8" s="124"/>
      <c r="K8" s="124"/>
      <c r="L8" s="125">
        <f t="shared" si="1"/>
        <v>1545499</v>
      </c>
      <c r="M8" s="124">
        <f>872376+550244+25879</f>
        <v>1448499</v>
      </c>
      <c r="N8" s="124"/>
      <c r="O8" s="124">
        <f>13000+9000+2000</f>
        <v>24000</v>
      </c>
      <c r="P8" s="124"/>
      <c r="Q8" s="124"/>
      <c r="R8" s="124">
        <v>73000</v>
      </c>
      <c r="S8" s="124"/>
      <c r="T8" s="124"/>
      <c r="U8" s="125">
        <f t="shared" si="2"/>
        <v>1545499</v>
      </c>
      <c r="V8" s="124">
        <f>872376+550244+25879</f>
        <v>1448499</v>
      </c>
      <c r="W8" s="124"/>
      <c r="X8" s="124">
        <f>13000+9000+2000</f>
        <v>24000</v>
      </c>
      <c r="Y8" s="124"/>
      <c r="Z8" s="124"/>
      <c r="AA8" s="124">
        <v>73000</v>
      </c>
      <c r="AB8" s="124"/>
      <c r="AC8" s="124"/>
    </row>
    <row r="9" spans="1:29">
      <c r="A9" s="213"/>
      <c r="B9" s="126">
        <v>225</v>
      </c>
      <c r="C9" s="125">
        <f t="shared" si="0"/>
        <v>3085177.94</v>
      </c>
      <c r="D9" s="124">
        <v>212237.57</v>
      </c>
      <c r="E9" s="124">
        <v>2662000</v>
      </c>
      <c r="F9" s="124">
        <v>119117.37</v>
      </c>
      <c r="G9" s="124">
        <v>60000</v>
      </c>
      <c r="H9" s="124">
        <v>15000</v>
      </c>
      <c r="I9" s="124"/>
      <c r="J9" s="124"/>
      <c r="K9" s="124">
        <v>16823</v>
      </c>
      <c r="L9" s="125">
        <f t="shared" si="1"/>
        <v>318741</v>
      </c>
      <c r="M9" s="124">
        <v>188741</v>
      </c>
      <c r="N9" s="124"/>
      <c r="O9" s="124">
        <v>30000</v>
      </c>
      <c r="P9" s="124">
        <v>60000</v>
      </c>
      <c r="Q9" s="124">
        <v>15000</v>
      </c>
      <c r="R9" s="124"/>
      <c r="S9" s="124"/>
      <c r="T9" s="124">
        <v>25000</v>
      </c>
      <c r="U9" s="125">
        <f t="shared" si="2"/>
        <v>318741</v>
      </c>
      <c r="V9" s="124">
        <v>188741</v>
      </c>
      <c r="W9" s="124"/>
      <c r="X9" s="124">
        <v>30000</v>
      </c>
      <c r="Y9" s="124">
        <v>60000</v>
      </c>
      <c r="Z9" s="124">
        <v>15000</v>
      </c>
      <c r="AA9" s="124"/>
      <c r="AB9" s="124"/>
      <c r="AC9" s="124">
        <v>25000</v>
      </c>
    </row>
    <row r="10" spans="1:29">
      <c r="A10" s="213"/>
      <c r="B10" s="126">
        <v>226</v>
      </c>
      <c r="C10" s="125">
        <f t="shared" si="0"/>
        <v>632593.64999999991</v>
      </c>
      <c r="D10" s="124">
        <f>75377.2+23684</f>
        <v>99061.2</v>
      </c>
      <c r="E10" s="124">
        <v>417000</v>
      </c>
      <c r="F10" s="124">
        <v>9865.6299999999992</v>
      </c>
      <c r="G10" s="124"/>
      <c r="H10" s="124">
        <v>25000</v>
      </c>
      <c r="I10" s="124"/>
      <c r="J10" s="124"/>
      <c r="K10" s="124">
        <v>81666.820000000007</v>
      </c>
      <c r="L10" s="125">
        <f t="shared" si="1"/>
        <v>864513</v>
      </c>
      <c r="M10" s="124">
        <f>285829+23684</f>
        <v>309513</v>
      </c>
      <c r="N10" s="124">
        <v>407000</v>
      </c>
      <c r="O10" s="124">
        <v>45000</v>
      </c>
      <c r="P10" s="124"/>
      <c r="Q10" s="124">
        <v>25000</v>
      </c>
      <c r="R10" s="124"/>
      <c r="S10" s="124"/>
      <c r="T10" s="124">
        <v>78000</v>
      </c>
      <c r="U10" s="125">
        <f t="shared" si="2"/>
        <v>870513</v>
      </c>
      <c r="V10" s="124">
        <f>285829+23684</f>
        <v>309513</v>
      </c>
      <c r="W10" s="124">
        <v>413000</v>
      </c>
      <c r="X10" s="124">
        <v>45000</v>
      </c>
      <c r="Y10" s="124"/>
      <c r="Z10" s="124">
        <v>25000</v>
      </c>
      <c r="AA10" s="124"/>
      <c r="AB10" s="124"/>
      <c r="AC10" s="124">
        <v>78000</v>
      </c>
    </row>
    <row r="11" spans="1:29">
      <c r="A11" s="213"/>
      <c r="B11" s="126">
        <v>290</v>
      </c>
      <c r="C11" s="125">
        <f t="shared" si="0"/>
        <v>13696</v>
      </c>
      <c r="D11" s="124">
        <f>13696</f>
        <v>13696</v>
      </c>
      <c r="E11" s="124"/>
      <c r="F11" s="124"/>
      <c r="G11" s="124"/>
      <c r="H11" s="124"/>
      <c r="I11" s="124"/>
      <c r="J11" s="124"/>
      <c r="K11" s="124"/>
      <c r="L11" s="125">
        <f t="shared" si="1"/>
        <v>13696</v>
      </c>
      <c r="M11" s="124">
        <v>13696</v>
      </c>
      <c r="N11" s="124"/>
      <c r="O11" s="124"/>
      <c r="P11" s="124"/>
      <c r="Q11" s="124"/>
      <c r="R11" s="124"/>
      <c r="S11" s="124"/>
      <c r="T11" s="124"/>
      <c r="U11" s="125">
        <f t="shared" si="2"/>
        <v>13696</v>
      </c>
      <c r="V11" s="124">
        <v>13696</v>
      </c>
      <c r="W11" s="124"/>
      <c r="X11" s="124"/>
      <c r="Y11" s="124"/>
      <c r="Z11" s="124"/>
      <c r="AA11" s="124"/>
      <c r="AB11" s="124"/>
      <c r="AC11" s="124"/>
    </row>
    <row r="12" spans="1:29">
      <c r="A12" s="213"/>
      <c r="B12" s="126">
        <v>310</v>
      </c>
      <c r="C12" s="125">
        <f t="shared" si="0"/>
        <v>16244.75</v>
      </c>
      <c r="D12" s="124">
        <f>0</f>
        <v>0</v>
      </c>
      <c r="E12" s="124"/>
      <c r="F12" s="124">
        <v>244.75</v>
      </c>
      <c r="G12" s="124"/>
      <c r="H12" s="124">
        <v>16000</v>
      </c>
      <c r="I12" s="124"/>
      <c r="J12" s="124"/>
      <c r="K12" s="124"/>
      <c r="L12" s="125">
        <f t="shared" si="1"/>
        <v>46000</v>
      </c>
      <c r="M12" s="124"/>
      <c r="N12" s="124"/>
      <c r="O12" s="124">
        <v>19000</v>
      </c>
      <c r="P12" s="124"/>
      <c r="Q12" s="124">
        <v>16000</v>
      </c>
      <c r="R12" s="124"/>
      <c r="S12" s="124"/>
      <c r="T12" s="124">
        <v>11000</v>
      </c>
      <c r="U12" s="125">
        <f t="shared" si="2"/>
        <v>46000</v>
      </c>
      <c r="V12" s="124"/>
      <c r="W12" s="124"/>
      <c r="X12" s="124">
        <v>19000</v>
      </c>
      <c r="Y12" s="124"/>
      <c r="Z12" s="124">
        <v>16000</v>
      </c>
      <c r="AA12" s="124"/>
      <c r="AB12" s="124"/>
      <c r="AC12" s="124">
        <v>11000</v>
      </c>
    </row>
    <row r="13" spans="1:29" s="48" customFormat="1">
      <c r="A13" s="213"/>
      <c r="B13" s="126">
        <v>340</v>
      </c>
      <c r="C13" s="125">
        <f t="shared" ref="C13" si="3">SUM(D13:K13)</f>
        <v>249993.1</v>
      </c>
      <c r="D13" s="124">
        <f>137896.65+5536.45</f>
        <v>143433.1</v>
      </c>
      <c r="E13" s="124"/>
      <c r="F13" s="124">
        <v>14532</v>
      </c>
      <c r="G13" s="124"/>
      <c r="H13" s="124">
        <v>40147</v>
      </c>
      <c r="I13" s="124"/>
      <c r="J13" s="124">
        <v>6000</v>
      </c>
      <c r="K13" s="124">
        <v>45881</v>
      </c>
      <c r="L13" s="125">
        <f t="shared" si="1"/>
        <v>153948</v>
      </c>
      <c r="M13" s="124">
        <v>98948</v>
      </c>
      <c r="N13" s="124"/>
      <c r="O13" s="124">
        <v>15000</v>
      </c>
      <c r="P13" s="124"/>
      <c r="Q13" s="124">
        <v>39000</v>
      </c>
      <c r="R13" s="124"/>
      <c r="S13" s="124"/>
      <c r="T13" s="124">
        <v>1000</v>
      </c>
      <c r="U13" s="125">
        <f t="shared" si="2"/>
        <v>153948</v>
      </c>
      <c r="V13" s="124">
        <v>98948</v>
      </c>
      <c r="W13" s="124"/>
      <c r="X13" s="124">
        <v>15000</v>
      </c>
      <c r="Y13" s="124"/>
      <c r="Z13" s="124">
        <v>39000</v>
      </c>
      <c r="AA13" s="124"/>
      <c r="AB13" s="124"/>
      <c r="AC13" s="124">
        <v>1000</v>
      </c>
    </row>
    <row r="14" spans="1:29">
      <c r="B14" s="122" t="s">
        <v>179</v>
      </c>
      <c r="C14" s="125">
        <f t="shared" si="0"/>
        <v>5930017.370000001</v>
      </c>
      <c r="D14" s="124">
        <f t="shared" ref="D14:K14" si="4">SUM(D6:D13)</f>
        <v>2258004.39</v>
      </c>
      <c r="E14" s="124">
        <f t="shared" si="4"/>
        <v>3079000</v>
      </c>
      <c r="F14" s="124">
        <f t="shared" si="4"/>
        <v>189923.75</v>
      </c>
      <c r="G14" s="124">
        <f t="shared" si="4"/>
        <v>60000</v>
      </c>
      <c r="H14" s="124">
        <f t="shared" si="4"/>
        <v>96147</v>
      </c>
      <c r="I14" s="124">
        <f t="shared" si="4"/>
        <v>86571.41</v>
      </c>
      <c r="J14" s="124">
        <f t="shared" si="4"/>
        <v>6000</v>
      </c>
      <c r="K14" s="124">
        <f t="shared" si="4"/>
        <v>154370.82</v>
      </c>
      <c r="L14" s="125">
        <f t="shared" si="1"/>
        <v>3041616</v>
      </c>
      <c r="M14" s="124">
        <f t="shared" ref="M14:T14" si="5">SUM(M6:M13)</f>
        <v>2142616</v>
      </c>
      <c r="N14" s="124">
        <f t="shared" si="5"/>
        <v>407000</v>
      </c>
      <c r="O14" s="124">
        <f t="shared" si="5"/>
        <v>133000</v>
      </c>
      <c r="P14" s="124">
        <f t="shared" si="5"/>
        <v>60000</v>
      </c>
      <c r="Q14" s="124">
        <f t="shared" si="5"/>
        <v>95000</v>
      </c>
      <c r="R14" s="124">
        <f t="shared" si="5"/>
        <v>73000</v>
      </c>
      <c r="S14" s="124">
        <f t="shared" si="5"/>
        <v>0</v>
      </c>
      <c r="T14" s="124">
        <f t="shared" si="5"/>
        <v>131000</v>
      </c>
      <c r="U14" s="125">
        <f t="shared" si="2"/>
        <v>3047616</v>
      </c>
      <c r="V14" s="124">
        <f t="shared" ref="V14:AC14" si="6">SUM(V6:V13)</f>
        <v>2142616</v>
      </c>
      <c r="W14" s="124">
        <f t="shared" si="6"/>
        <v>413000</v>
      </c>
      <c r="X14" s="124">
        <f t="shared" si="6"/>
        <v>133000</v>
      </c>
      <c r="Y14" s="124">
        <f t="shared" si="6"/>
        <v>60000</v>
      </c>
      <c r="Z14" s="124">
        <f t="shared" si="6"/>
        <v>95000</v>
      </c>
      <c r="AA14" s="124">
        <f t="shared" si="6"/>
        <v>73000</v>
      </c>
      <c r="AB14" s="124">
        <f t="shared" si="6"/>
        <v>0</v>
      </c>
      <c r="AC14" s="124">
        <f t="shared" si="6"/>
        <v>131000</v>
      </c>
    </row>
    <row r="15" spans="1:29" s="121" customFormat="1">
      <c r="D15" s="121">
        <f>D14-'3'!BB37</f>
        <v>0</v>
      </c>
      <c r="E15" s="121">
        <f>E14-'3'!BC37</f>
        <v>0</v>
      </c>
      <c r="F15" s="121">
        <f>(F14+G14+H14+I14+K14+J14)-'3'!BE37</f>
        <v>0</v>
      </c>
      <c r="M15" s="121">
        <f>M14-'3 (2)'!BB37</f>
        <v>0</v>
      </c>
      <c r="N15" s="121">
        <f>N14-'3 (2)'!BC37</f>
        <v>0</v>
      </c>
      <c r="O15" s="121">
        <f>(O14+P14+Q14+R14+S14+T14)-'3 (2)'!BE37</f>
        <v>0</v>
      </c>
      <c r="V15" s="121">
        <f>V14-'3 (3)'!BB37</f>
        <v>0</v>
      </c>
      <c r="W15" s="121">
        <f>W14-'3 (3)'!BC37</f>
        <v>0</v>
      </c>
      <c r="X15" s="121">
        <f>(X14+Y14+Z14+AA14+AB14+AC14)-'3 (3)'!BE37</f>
        <v>0</v>
      </c>
    </row>
    <row r="16" spans="1:29"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29"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29">
      <c r="B18" s="19" t="s">
        <v>180</v>
      </c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29">
      <c r="C19" s="112"/>
      <c r="D19" s="112"/>
      <c r="E19" s="128" t="s">
        <v>183</v>
      </c>
      <c r="F19" s="112"/>
      <c r="G19" s="112"/>
      <c r="H19" s="112"/>
      <c r="I19" s="112"/>
      <c r="J19" s="112"/>
      <c r="K19" s="112"/>
    </row>
    <row r="20" spans="1:29" s="48" customFormat="1">
      <c r="A20"/>
      <c r="B20" s="123">
        <v>222</v>
      </c>
      <c r="C20" s="124">
        <f t="shared" ref="C20:C23" si="7">SUM(D20:K20)</f>
        <v>24000</v>
      </c>
      <c r="D20" s="124"/>
      <c r="E20" s="124">
        <v>24000</v>
      </c>
      <c r="F20" s="124"/>
      <c r="G20" s="124"/>
      <c r="H20" s="124"/>
      <c r="I20" s="124"/>
      <c r="J20" s="124"/>
      <c r="K20" s="124"/>
    </row>
    <row r="21" spans="1:29" s="48" customFormat="1">
      <c r="B21" s="123">
        <v>226</v>
      </c>
      <c r="C21" s="124">
        <f t="shared" si="7"/>
        <v>112000</v>
      </c>
      <c r="D21" s="124"/>
      <c r="E21" s="124">
        <f>40000+72000</f>
        <v>112000</v>
      </c>
      <c r="F21" s="124"/>
      <c r="G21" s="124"/>
      <c r="H21" s="124"/>
      <c r="I21" s="124"/>
      <c r="J21" s="124"/>
      <c r="K21" s="124"/>
    </row>
    <row r="22" spans="1:29" s="48" customFormat="1">
      <c r="A22"/>
      <c r="B22" s="123">
        <v>290</v>
      </c>
      <c r="C22" s="124">
        <f t="shared" si="7"/>
        <v>23222</v>
      </c>
      <c r="D22" s="124"/>
      <c r="E22" s="124">
        <f>1500+1200+2800+2322+800+5000+9600</f>
        <v>23222</v>
      </c>
      <c r="F22" s="124"/>
      <c r="G22" s="124"/>
      <c r="H22" s="124"/>
      <c r="I22" s="124"/>
      <c r="J22" s="124"/>
      <c r="K22" s="124"/>
    </row>
    <row r="23" spans="1:29" s="48" customFormat="1">
      <c r="A23"/>
      <c r="B23" s="123">
        <v>340</v>
      </c>
      <c r="C23" s="124">
        <f t="shared" si="7"/>
        <v>6420</v>
      </c>
      <c r="D23" s="124"/>
      <c r="E23" s="124">
        <f>500+2500+1500+960+960</f>
        <v>6420</v>
      </c>
      <c r="F23" s="124"/>
      <c r="G23" s="124"/>
      <c r="H23" s="124"/>
      <c r="I23" s="124"/>
      <c r="J23" s="124"/>
      <c r="K23" s="124"/>
    </row>
    <row r="24" spans="1:29">
      <c r="C24" s="124">
        <f>SUM(C20:C23)</f>
        <v>165642</v>
      </c>
      <c r="D24" s="112"/>
      <c r="E24" s="124">
        <f t="shared" ref="E24" si="8">SUM(E20:E23)</f>
        <v>165642</v>
      </c>
      <c r="F24" s="112"/>
      <c r="G24" s="112"/>
      <c r="H24" s="112"/>
      <c r="I24" s="112"/>
      <c r="J24" s="112"/>
      <c r="K24" s="112"/>
    </row>
    <row r="25" spans="1:29"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29">
      <c r="A26" s="206" t="s">
        <v>197</v>
      </c>
      <c r="B26" s="207"/>
      <c r="C26" s="207"/>
      <c r="D26" s="207"/>
      <c r="E26" s="207"/>
      <c r="F26" s="207"/>
      <c r="G26" s="207"/>
      <c r="H26" s="207"/>
      <c r="I26" s="208"/>
      <c r="J26" s="112"/>
      <c r="K26" s="112"/>
    </row>
    <row r="27" spans="1:29">
      <c r="A27" s="130" t="s">
        <v>192</v>
      </c>
      <c r="B27" s="204" t="s">
        <v>184</v>
      </c>
      <c r="C27" s="205"/>
      <c r="D27" s="205"/>
      <c r="E27" s="205"/>
      <c r="F27" s="205"/>
      <c r="G27" s="205"/>
      <c r="H27" s="205"/>
      <c r="I27" s="205"/>
      <c r="J27" s="112"/>
      <c r="K27" s="112"/>
    </row>
    <row r="28" spans="1:29">
      <c r="A28" s="130" t="s">
        <v>193</v>
      </c>
      <c r="B28" s="204" t="s">
        <v>185</v>
      </c>
      <c r="C28" s="205"/>
      <c r="D28" s="205"/>
      <c r="E28" s="205"/>
      <c r="F28" s="205"/>
      <c r="G28" s="205"/>
      <c r="H28" s="205"/>
      <c r="I28" s="205"/>
      <c r="J28" s="112"/>
      <c r="K28" s="112"/>
    </row>
    <row r="29" spans="1:29" s="48" customFormat="1">
      <c r="A29" s="130" t="s">
        <v>193</v>
      </c>
      <c r="B29" s="204" t="s">
        <v>191</v>
      </c>
      <c r="C29" s="205"/>
      <c r="D29" s="205"/>
      <c r="E29" s="205"/>
      <c r="F29" s="205"/>
      <c r="G29" s="205"/>
      <c r="H29" s="205"/>
      <c r="I29" s="205"/>
      <c r="J29" s="112"/>
      <c r="K29" s="112"/>
    </row>
    <row r="30" spans="1:29" s="48" customFormat="1">
      <c r="A30" s="130" t="s">
        <v>194</v>
      </c>
      <c r="B30" s="204" t="s">
        <v>196</v>
      </c>
      <c r="C30" s="204"/>
      <c r="D30" s="204"/>
      <c r="E30" s="204"/>
      <c r="F30" s="204"/>
      <c r="G30" s="204"/>
      <c r="H30" s="204"/>
      <c r="I30" s="204"/>
      <c r="J30" s="112"/>
      <c r="K30" s="11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48" customFormat="1">
      <c r="A31" s="130" t="s">
        <v>194</v>
      </c>
      <c r="B31" s="204" t="s">
        <v>199</v>
      </c>
      <c r="C31" s="204"/>
      <c r="D31" s="204"/>
      <c r="E31" s="204"/>
      <c r="F31" s="204"/>
      <c r="G31" s="204"/>
      <c r="H31" s="204"/>
      <c r="I31" s="204"/>
      <c r="J31" s="112"/>
      <c r="K31" s="112"/>
    </row>
    <row r="32" spans="1:29">
      <c r="A32" s="130" t="s">
        <v>195</v>
      </c>
      <c r="B32" s="204" t="s">
        <v>198</v>
      </c>
      <c r="C32" s="205"/>
      <c r="D32" s="205"/>
      <c r="E32" s="205"/>
      <c r="F32" s="205"/>
      <c r="G32" s="205"/>
      <c r="H32" s="205"/>
      <c r="I32" s="205"/>
      <c r="J32" s="112"/>
      <c r="K32" s="112"/>
    </row>
    <row r="33" spans="1:11" s="48" customFormat="1">
      <c r="A33" s="130" t="s">
        <v>195</v>
      </c>
      <c r="B33" s="204" t="s">
        <v>186</v>
      </c>
      <c r="C33" s="205"/>
      <c r="D33" s="205"/>
      <c r="E33" s="205"/>
      <c r="F33" s="205"/>
      <c r="G33" s="205"/>
      <c r="H33" s="205"/>
      <c r="I33" s="205"/>
      <c r="J33" s="112"/>
      <c r="K33" s="112"/>
    </row>
    <row r="34" spans="1:11"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1"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>
      <c r="C43" s="112"/>
      <c r="D43" s="112"/>
      <c r="E43" s="112"/>
      <c r="F43" s="112"/>
      <c r="G43" s="112"/>
      <c r="H43" s="112"/>
      <c r="I43" s="112"/>
      <c r="J43" s="112"/>
      <c r="K43" s="112"/>
    </row>
  </sheetData>
  <mergeCells count="16">
    <mergeCell ref="B33:I33"/>
    <mergeCell ref="A26:I26"/>
    <mergeCell ref="V4:AC4"/>
    <mergeCell ref="B4:B5"/>
    <mergeCell ref="B27:I27"/>
    <mergeCell ref="B28:I28"/>
    <mergeCell ref="B30:I30"/>
    <mergeCell ref="B32:I32"/>
    <mergeCell ref="B29:I29"/>
    <mergeCell ref="C4:C5"/>
    <mergeCell ref="A6:A13"/>
    <mergeCell ref="D4:K4"/>
    <mergeCell ref="L4:L5"/>
    <mergeCell ref="M4:T4"/>
    <mergeCell ref="U4:U5"/>
    <mergeCell ref="B31:I31"/>
  </mergeCells>
  <pageMargins left="0.16" right="0.16" top="0.74803149606299213" bottom="0.74803149606299213" header="0.31496062992125984" footer="0.31496062992125984"/>
  <pageSetup paperSize="9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свод по квр 244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'свод по квр 244'!Область_печати</vt:lpstr>
      <vt:lpstr>Тит!Область_печати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глав.бух.</cp:lastModifiedBy>
  <cp:lastPrinted>2016-06-02T10:29:03Z</cp:lastPrinted>
  <dcterms:created xsi:type="dcterms:W3CDTF">2016-04-19T05:14:21Z</dcterms:created>
  <dcterms:modified xsi:type="dcterms:W3CDTF">2016-06-02T10:29:40Z</dcterms:modified>
</cp:coreProperties>
</file>