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90" windowWidth="14940" windowHeight="9030" activeTab="3"/>
  </bookViews>
  <sheets>
    <sheet name="тит" sheetId="11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  <sheet name="3 с разбивкой утв" sheetId="12" r:id="rId8"/>
  </sheets>
  <definedNames>
    <definedName name="IS_DOCUMENT" localSheetId="2">'3'!$A$98</definedName>
    <definedName name="IS_DOCUMENT" localSheetId="3">'3 (2)'!$A$47</definedName>
    <definedName name="IS_DOCUMENT" localSheetId="4">'3 (3)'!$A$47</definedName>
    <definedName name="_xlnm.Print_Area" localSheetId="1">'2'!$A$1:$C$26</definedName>
    <definedName name="_xlnm.Print_Area" localSheetId="2">'3'!$A$1:$BF$111</definedName>
    <definedName name="_xlnm.Print_Area" localSheetId="3">'3 (2)'!$A$1:$BF$47</definedName>
    <definedName name="_xlnm.Print_Area" localSheetId="4">'3 (3)'!$A$1:$BF$47</definedName>
    <definedName name="_xlnm.Print_Area" localSheetId="7">'3 с разбивкой утв'!$A$1:$BK$114</definedName>
    <definedName name="_xlnm.Print_Area" localSheetId="5">'4'!$A$1:$L$23</definedName>
    <definedName name="_xlnm.Print_Area" localSheetId="6">'5'!$A$1:$C$37</definedName>
    <definedName name="_xlnm.Print_Area" localSheetId="0">тит!$A$1:$DY$39</definedName>
  </definedNames>
  <calcPr calcId="125725"/>
</workbook>
</file>

<file path=xl/calcChain.xml><?xml version="1.0" encoding="utf-8"?>
<calcChain xmlns="http://schemas.openxmlformats.org/spreadsheetml/2006/main">
  <c r="E24" i="5"/>
  <c r="BC37" i="7"/>
  <c r="BB37"/>
  <c r="BB37" i="8"/>
  <c r="BC15"/>
  <c r="BB12"/>
  <c r="BC15" i="7"/>
  <c r="BB12"/>
  <c r="BI84" i="12"/>
  <c r="BI86"/>
  <c r="BJ84"/>
  <c r="BE56"/>
  <c r="BJ86"/>
  <c r="BA110" i="2"/>
  <c r="BA109"/>
  <c r="BA108"/>
  <c r="BA107"/>
  <c r="BA106"/>
  <c r="BA105"/>
  <c r="BA104"/>
  <c r="BA103"/>
  <c r="BJ99"/>
  <c r="BE99"/>
  <c r="BE97"/>
  <c r="BE96"/>
  <c r="BE95"/>
  <c r="BE94"/>
  <c r="BE93"/>
  <c r="BE92"/>
  <c r="BE91"/>
  <c r="BE90"/>
  <c r="BE89"/>
  <c r="BI86"/>
  <c r="BE86"/>
  <c r="BJ85"/>
  <c r="BI85"/>
  <c r="BK85" s="1"/>
  <c r="BE85"/>
  <c r="BE84"/>
  <c r="BI83" s="1"/>
  <c r="BE83"/>
  <c r="BI82" s="1"/>
  <c r="BJ82"/>
  <c r="BE82"/>
  <c r="BI93" s="1"/>
  <c r="BE81"/>
  <c r="BI92" s="1"/>
  <c r="BJ80"/>
  <c r="BI80"/>
  <c r="BE80"/>
  <c r="BI81" s="1"/>
  <c r="BE79"/>
  <c r="BI79" s="1"/>
  <c r="BB69"/>
  <c r="BB68"/>
  <c r="BB67"/>
  <c r="BB66"/>
  <c r="BJ79" s="1"/>
  <c r="BB65"/>
  <c r="BJ84" s="1"/>
  <c r="BK84" s="1"/>
  <c r="BB64"/>
  <c r="BB63"/>
  <c r="BJ86" s="1"/>
  <c r="BB62"/>
  <c r="BJ83" s="1"/>
  <c r="BB61"/>
  <c r="BB60"/>
  <c r="BJ93" s="1"/>
  <c r="BK93" s="1"/>
  <c r="BB59"/>
  <c r="BJ92" s="1"/>
  <c r="BK92" s="1"/>
  <c r="BB58"/>
  <c r="BJ91" s="1"/>
  <c r="BB57"/>
  <c r="BE56"/>
  <c r="BC56"/>
  <c r="BB56"/>
  <c r="BA55"/>
  <c r="BE52"/>
  <c r="BA52"/>
  <c r="BE51"/>
  <c r="BE48"/>
  <c r="BB48"/>
  <c r="BA48"/>
  <c r="BA47"/>
  <c r="BA46"/>
  <c r="BF44"/>
  <c r="BE44"/>
  <c r="BD44"/>
  <c r="BC44"/>
  <c r="BB44"/>
  <c r="BA44"/>
  <c r="BA43"/>
  <c r="BF41"/>
  <c r="BE41"/>
  <c r="BD41"/>
  <c r="BC41"/>
  <c r="BB41"/>
  <c r="BA41"/>
  <c r="BE40"/>
  <c r="BA40" s="1"/>
  <c r="BE39"/>
  <c r="BE37" s="1"/>
  <c r="BC37"/>
  <c r="BE36"/>
  <c r="BB36"/>
  <c r="BA36"/>
  <c r="BB34"/>
  <c r="BE33"/>
  <c r="BB33"/>
  <c r="BA33" s="1"/>
  <c r="BA32" s="1"/>
  <c r="BF32"/>
  <c r="BF31" s="1"/>
  <c r="BE32"/>
  <c r="BD32"/>
  <c r="BC32"/>
  <c r="BC31" s="1"/>
  <c r="BC30" s="1"/>
  <c r="BD31"/>
  <c r="BA28"/>
  <c r="BE25"/>
  <c r="BA25" s="1"/>
  <c r="BC23"/>
  <c r="BC22" s="1"/>
  <c r="BA21"/>
  <c r="BA20"/>
  <c r="BB14"/>
  <c r="BE12"/>
  <c r="BE9" s="1"/>
  <c r="BB12"/>
  <c r="BA12"/>
  <c r="BA10"/>
  <c r="BF9"/>
  <c r="BD9"/>
  <c r="BB9"/>
  <c r="BE99" i="12"/>
  <c r="BE97"/>
  <c r="BI83" s="1"/>
  <c r="BE96"/>
  <c r="BE95"/>
  <c r="BJ91"/>
  <c r="BJ83"/>
  <c r="BJ82"/>
  <c r="BJ79"/>
  <c r="BJ81"/>
  <c r="BJ80"/>
  <c r="BC56"/>
  <c r="BB65"/>
  <c r="BB64"/>
  <c r="BB14"/>
  <c r="BB69"/>
  <c r="BB67"/>
  <c r="BB33"/>
  <c r="BB34"/>
  <c r="BE52"/>
  <c r="BE91"/>
  <c r="BE90"/>
  <c r="BE40"/>
  <c r="BE89"/>
  <c r="BE39"/>
  <c r="BE86"/>
  <c r="BE85"/>
  <c r="BE84"/>
  <c r="BE83"/>
  <c r="BE79"/>
  <c r="BE51"/>
  <c r="BE48" s="1"/>
  <c r="BE44" s="1"/>
  <c r="BE36"/>
  <c r="BE33"/>
  <c r="BE32" s="1"/>
  <c r="BE94"/>
  <c r="BE93"/>
  <c r="BE92"/>
  <c r="BB63"/>
  <c r="BB62"/>
  <c r="BB61"/>
  <c r="BB57"/>
  <c r="BB60"/>
  <c r="BB59"/>
  <c r="BB58"/>
  <c r="BB68"/>
  <c r="BB66"/>
  <c r="BK84"/>
  <c r="D19" i="5" s="1"/>
  <c r="BE81" i="12"/>
  <c r="BI92" s="1"/>
  <c r="BE80"/>
  <c r="BE82"/>
  <c r="BI93" s="1"/>
  <c r="BE37"/>
  <c r="BA110"/>
  <c r="BA109"/>
  <c r="BA108"/>
  <c r="BA107"/>
  <c r="BA106"/>
  <c r="BA105"/>
  <c r="BA104"/>
  <c r="BA103"/>
  <c r="BJ99"/>
  <c r="BJ85"/>
  <c r="BI85"/>
  <c r="BI82"/>
  <c r="BI80"/>
  <c r="BI79"/>
  <c r="BA55"/>
  <c r="BA52"/>
  <c r="BB48"/>
  <c r="BA47"/>
  <c r="BA46"/>
  <c r="BF44"/>
  <c r="BD44"/>
  <c r="BC44"/>
  <c r="BB44"/>
  <c r="BA43"/>
  <c r="BF41"/>
  <c r="BE41"/>
  <c r="BD41"/>
  <c r="BC41"/>
  <c r="BB41"/>
  <c r="BA41"/>
  <c r="BA40"/>
  <c r="BC37"/>
  <c r="BB36"/>
  <c r="BA36" s="1"/>
  <c r="BF32"/>
  <c r="BF31" s="1"/>
  <c r="BD32"/>
  <c r="BD31" s="1"/>
  <c r="BC32"/>
  <c r="BB32"/>
  <c r="BB31" s="1"/>
  <c r="BA28"/>
  <c r="BE25"/>
  <c r="BA25" s="1"/>
  <c r="BC23"/>
  <c r="BC22" s="1"/>
  <c r="BA21"/>
  <c r="BA20"/>
  <c r="BE12"/>
  <c r="BB12"/>
  <c r="BA10"/>
  <c r="BF9"/>
  <c r="BD9"/>
  <c r="BB32" i="2" l="1"/>
  <c r="BB31" s="1"/>
  <c r="BE31"/>
  <c r="BE30" s="1"/>
  <c r="BE113" s="1"/>
  <c r="BK80"/>
  <c r="BD30"/>
  <c r="BD113" s="1"/>
  <c r="BF30"/>
  <c r="BF113" s="1"/>
  <c r="BK82"/>
  <c r="BA37"/>
  <c r="BA31" s="1"/>
  <c r="BB30"/>
  <c r="BB113" s="1"/>
  <c r="BC9"/>
  <c r="BA22"/>
  <c r="BJ94"/>
  <c r="BK91"/>
  <c r="BK94" s="1"/>
  <c r="BI87"/>
  <c r="BK79"/>
  <c r="BA9"/>
  <c r="BI88"/>
  <c r="BK83"/>
  <c r="BC113"/>
  <c r="BK86"/>
  <c r="BJ81"/>
  <c r="BJ87" s="1"/>
  <c r="BJ88" s="1"/>
  <c r="BI91"/>
  <c r="BI94" s="1"/>
  <c r="BI95" s="1"/>
  <c r="BA56"/>
  <c r="BJ87" i="12"/>
  <c r="BJ88" s="1"/>
  <c r="BA33"/>
  <c r="BE31"/>
  <c r="BJ92"/>
  <c r="BK92" s="1"/>
  <c r="BA37"/>
  <c r="BI81"/>
  <c r="BJ93"/>
  <c r="BK93" s="1"/>
  <c r="BK80"/>
  <c r="D15" i="5" s="1"/>
  <c r="BB56" i="12"/>
  <c r="BB30" s="1"/>
  <c r="BA32"/>
  <c r="BC31"/>
  <c r="BC30" s="1"/>
  <c r="BA48"/>
  <c r="BA44" s="1"/>
  <c r="BK85"/>
  <c r="D20" i="5" s="1"/>
  <c r="BK86" i="12"/>
  <c r="D21" i="5" s="1"/>
  <c r="BE9" i="12"/>
  <c r="BD30"/>
  <c r="BD113" s="1"/>
  <c r="BF30"/>
  <c r="BF113" s="1"/>
  <c r="BK83"/>
  <c r="D18" i="5" s="1"/>
  <c r="BK82" i="12"/>
  <c r="D17" i="5" s="1"/>
  <c r="BE30" i="12"/>
  <c r="BA12"/>
  <c r="BA22"/>
  <c r="BC9"/>
  <c r="BJ94"/>
  <c r="BK91"/>
  <c r="BK94" s="1"/>
  <c r="BI87"/>
  <c r="BI88" s="1"/>
  <c r="BK79"/>
  <c r="D14" i="5" s="1"/>
  <c r="BK81" i="12"/>
  <c r="BI91"/>
  <c r="BI94" s="1"/>
  <c r="BB9"/>
  <c r="BK81" i="2" l="1"/>
  <c r="BK95" s="1"/>
  <c r="BA30"/>
  <c r="BA113" s="1"/>
  <c r="BK87"/>
  <c r="BK88" s="1"/>
  <c r="BA31" i="12"/>
  <c r="BC113"/>
  <c r="D16" i="5"/>
  <c r="D12" s="1"/>
  <c r="BB113" i="12"/>
  <c r="BA56"/>
  <c r="BA30" s="1"/>
  <c r="BA113" s="1"/>
  <c r="BI95"/>
  <c r="BK95" s="1"/>
  <c r="BA9"/>
  <c r="BE113"/>
  <c r="BK87"/>
  <c r="F21" i="5"/>
  <c r="I21" s="1"/>
  <c r="F18"/>
  <c r="F17"/>
  <c r="F16"/>
  <c r="F14"/>
  <c r="F12" s="1"/>
  <c r="BB32" i="8"/>
  <c r="E18" i="5"/>
  <c r="E21"/>
  <c r="E20"/>
  <c r="E17"/>
  <c r="H17" s="1"/>
  <c r="E16"/>
  <c r="H16" s="1"/>
  <c r="E14"/>
  <c r="E12" s="1"/>
  <c r="H12" s="1"/>
  <c r="I20"/>
  <c r="I19"/>
  <c r="I18"/>
  <c r="I17"/>
  <c r="I16"/>
  <c r="I15"/>
  <c r="I14"/>
  <c r="H21"/>
  <c r="H20"/>
  <c r="H19"/>
  <c r="H18"/>
  <c r="H15"/>
  <c r="H14"/>
  <c r="BB23" i="7"/>
  <c r="BB22"/>
  <c r="BB32"/>
  <c r="BE37" i="8"/>
  <c r="BE29"/>
  <c r="BE26"/>
  <c r="BE21"/>
  <c r="BE20" s="1"/>
  <c r="BE16"/>
  <c r="BE12"/>
  <c r="BE9"/>
  <c r="BE37" i="7"/>
  <c r="BE16"/>
  <c r="BE12"/>
  <c r="D24" i="5" l="1"/>
  <c r="BG7" i="2"/>
  <c r="BK88" i="12"/>
  <c r="BG7"/>
  <c r="BE19" i="8"/>
  <c r="G19" i="5" l="1"/>
  <c r="G17"/>
  <c r="G15"/>
  <c r="G14" l="1"/>
  <c r="G18"/>
  <c r="G21"/>
  <c r="G20"/>
  <c r="G16" l="1"/>
  <c r="G12" s="1"/>
  <c r="C24" i="4"/>
  <c r="C20"/>
  <c r="C19"/>
  <c r="C9"/>
  <c r="C16"/>
  <c r="C12"/>
  <c r="C10"/>
  <c r="C7"/>
  <c r="C6"/>
  <c r="I12" i="5"/>
  <c r="C21" i="4"/>
  <c r="C14"/>
  <c r="C13" s="1"/>
  <c r="BA47" i="8" l="1"/>
  <c r="BA46"/>
  <c r="BA45"/>
  <c r="BA44"/>
  <c r="BA43"/>
  <c r="BA42"/>
  <c r="BA41"/>
  <c r="BA40"/>
  <c r="BA37"/>
  <c r="F24" i="5" s="1"/>
  <c r="BA36" i="8"/>
  <c r="BA33"/>
  <c r="BA32"/>
  <c r="BA31"/>
  <c r="BF29"/>
  <c r="BD29"/>
  <c r="BC29"/>
  <c r="BB29"/>
  <c r="BA28"/>
  <c r="BF26"/>
  <c r="BD26"/>
  <c r="BC26"/>
  <c r="BB26"/>
  <c r="BA26"/>
  <c r="BA25"/>
  <c r="BA24"/>
  <c r="BA23"/>
  <c r="BA22"/>
  <c r="BF21"/>
  <c r="BD21"/>
  <c r="BC21"/>
  <c r="BB21"/>
  <c r="BB20" s="1"/>
  <c r="BF20"/>
  <c r="BD20"/>
  <c r="BC20"/>
  <c r="BF19"/>
  <c r="BA17"/>
  <c r="BA16"/>
  <c r="BA15"/>
  <c r="BA14"/>
  <c r="BA13"/>
  <c r="BA12"/>
  <c r="BA10"/>
  <c r="BF9"/>
  <c r="BE48"/>
  <c r="BD9"/>
  <c r="BC9"/>
  <c r="BB9"/>
  <c r="BA47" i="7"/>
  <c r="BA46"/>
  <c r="BA45"/>
  <c r="BA44"/>
  <c r="BA43"/>
  <c r="BA42"/>
  <c r="BA41"/>
  <c r="BA40"/>
  <c r="BA37"/>
  <c r="BA36"/>
  <c r="BA33"/>
  <c r="BA32"/>
  <c r="BA31"/>
  <c r="BF29"/>
  <c r="BE29"/>
  <c r="BD29"/>
  <c r="BC29"/>
  <c r="BB29"/>
  <c r="BA28"/>
  <c r="BF26"/>
  <c r="BE26"/>
  <c r="BD26"/>
  <c r="BC26"/>
  <c r="BB26"/>
  <c r="BA26"/>
  <c r="BA25"/>
  <c r="BA24"/>
  <c r="BA23"/>
  <c r="BA22"/>
  <c r="BF21"/>
  <c r="BE21"/>
  <c r="BE20" s="1"/>
  <c r="BD21"/>
  <c r="BC21"/>
  <c r="BC20" s="1"/>
  <c r="BB21"/>
  <c r="BB20" s="1"/>
  <c r="BB19" s="1"/>
  <c r="BF20"/>
  <c r="BD20"/>
  <c r="BD19" s="1"/>
  <c r="BA17"/>
  <c r="BA16"/>
  <c r="BA15"/>
  <c r="BA14"/>
  <c r="BA13"/>
  <c r="BA12"/>
  <c r="BA10"/>
  <c r="BF9"/>
  <c r="BE9"/>
  <c r="BD9"/>
  <c r="BC9"/>
  <c r="BB9"/>
  <c r="BA21" i="8" l="1"/>
  <c r="BA20" s="1"/>
  <c r="BC19"/>
  <c r="BC48" s="1"/>
  <c r="BA29"/>
  <c r="BE19" i="7"/>
  <c r="BE48" s="1"/>
  <c r="BA21"/>
  <c r="BA20" s="1"/>
  <c r="BC19"/>
  <c r="BC48" s="1"/>
  <c r="BA29"/>
  <c r="BF19"/>
  <c r="BF48" s="1"/>
  <c r="BB19" i="8"/>
  <c r="BB48" s="1"/>
  <c r="BD19"/>
  <c r="BD48" s="1"/>
  <c r="BA9"/>
  <c r="BA9" i="7"/>
  <c r="BB48"/>
  <c r="BD48"/>
  <c r="BF48" i="8"/>
  <c r="BA19" i="7" l="1"/>
  <c r="BG9" s="1"/>
  <c r="BA19" i="8"/>
  <c r="BA48" l="1"/>
  <c r="BG9"/>
  <c r="BA48" i="7"/>
</calcChain>
</file>

<file path=xl/comments1.xml><?xml version="1.0" encoding="utf-8"?>
<comments xmlns="http://schemas.openxmlformats.org/spreadsheetml/2006/main">
  <authors>
    <author>глав.бух.</author>
  </authors>
  <commentList>
    <comment ref="F24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<sst xmlns="http://schemas.openxmlformats.org/spreadsheetml/2006/main" count="743" uniqueCount="240">
  <si>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</si>
  <si>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</si>
  <si>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</si>
  <si>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</si>
  <si>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</si>
  <si>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</si>
  <si>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</si>
  <si>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</si>
  <si>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</si>
  <si>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</si>
  <si>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</si>
  <si>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</si>
  <si>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180</t>
  </si>
  <si>
    <t>120</t>
  </si>
  <si>
    <t>140</t>
  </si>
  <si>
    <t>130</t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</si>
  <si>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</si>
  <si>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</si>
  <si>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</si>
  <si>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</si>
  <si>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</si>
  <si>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</si>
  <si>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</si>
  <si>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</si>
  <si>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</si>
  <si>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</si>
  <si>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</si>
  <si>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</si>
  <si>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</si>
  <si>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</si>
  <si>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</si>
  <si>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</si>
  <si>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</si>
  <si>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</si>
  <si>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код субсидии 2021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</si>
  <si>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</si>
  <si>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 пеней, иных сумм принудительного изъятия</t>
  </si>
  <si>
    <t>доходы от оказания услуг (работ)</t>
  </si>
  <si>
    <t>иные субсидии, предоставленные из бюджета</t>
  </si>
  <si>
    <t>прочие доходы</t>
  </si>
  <si>
    <t>код субсидии 2006, 2009, 2010</t>
  </si>
  <si>
    <t>доходы от операций с активами</t>
  </si>
  <si>
    <t>МЗ 4000, 4291, код субсидии 2001, 2011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</si>
  <si>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</si>
  <si>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</si>
  <si>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</si>
  <si>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</si>
  <si>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</si>
  <si>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</si>
  <si>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</si>
  <si>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</si>
  <si>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</si>
  <si>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</si>
  <si>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</si>
  <si>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</si>
  <si>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</si>
  <si>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</si>
  <si>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</si>
  <si>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</si>
  <si>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</si>
  <si>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расходы на закупку товаров, работ, услуг,
всего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</si>
  <si>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</si>
  <si>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</si>
  <si>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</si>
  <si>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</si>
  <si>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</si>
  <si>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</si>
  <si>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</si>
  <si>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</si>
  <si>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</si>
  <si>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</si>
  <si>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</si>
  <si>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</si>
  <si>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</si>
  <si>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</si>
  <si>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</si>
  <si>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</si>
  <si>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Управление физической культуры и спорта мэрии городского округа Тольятти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</si>
  <si>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</si>
  <si>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</si>
  <si>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</si>
  <si>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</si>
  <si>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</si>
  <si>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</si>
  <si>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</si>
  <si>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</si>
  <si>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</si>
  <si>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</si>
  <si>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</si>
  <si>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</si>
  <si>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</si>
  <si>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</si>
  <si>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</si>
  <si>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</si>
  <si>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</si>
  <si>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</si>
  <si>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</si>
  <si>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</si>
  <si>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</si>
  <si>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</si>
  <si>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</si>
  <si>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</si>
  <si>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</si>
  <si>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</si>
  <si>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</si>
  <si>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</si>
  <si>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</si>
  <si>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</si>
  <si>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</si>
  <si>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</si>
  <si>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</si>
  <si>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</si>
  <si>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</si>
  <si>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</si>
  <si>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</si>
  <si>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</si>
  <si>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</si>
  <si>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</si>
  <si>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</si>
  <si>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</si>
  <si>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</si>
  <si>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</si>
  <si>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</si>
  <si>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</si>
  <si>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</si>
  <si>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</si>
  <si>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</si>
  <si>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</si>
  <si>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</si>
  <si>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</si>
  <si>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</si>
  <si>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</si>
  <si>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</si>
  <si>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</si>
  <si>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</si>
  <si>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</si>
  <si>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Главный бухгалтер  </t>
  </si>
  <si>
    <t xml:space="preserve">Исполнитель  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</si>
  <si>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2018 г.</t>
    </r>
  </si>
  <si>
    <t>_______________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</si>
  <si>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</si>
  <si>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</si>
  <si>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</si>
  <si>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</si>
  <si>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О.В. Зайцева</t>
  </si>
  <si>
    <t>тел.:      27-02-37</t>
  </si>
  <si>
    <t>-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</si>
  <si>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</si>
  <si>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</si>
  <si>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</si>
  <si>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</si>
  <si>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</si>
  <si>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</si>
  <si>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</si>
  <si>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</si>
  <si>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</si>
  <si>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Увеличение стоимости материальных запасов КОСГУ 340</t>
  </si>
  <si>
    <t>итого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</si>
  <si>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</si>
  <si>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</si>
  <si>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</si>
  <si>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</si>
  <si>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</si>
  <si>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</si>
  <si>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</si>
  <si>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Работа №4 Организация и проведение официальных спортивных мероприятий (календарный план)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</si>
  <si>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</si>
  <si>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</si>
  <si>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</si>
  <si>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</si>
  <si>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</si>
  <si>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2011</t>
  </si>
  <si>
    <t>Поступления от арендаторов на возмещение коммунальных и эксплуатационных услуг</t>
  </si>
  <si>
    <t>код субсидии 2019 - аренда</t>
  </si>
  <si>
    <t>2006</t>
  </si>
  <si>
    <t>2010</t>
  </si>
  <si>
    <t>косгу 212 пособия мамам, возм.медосмотра, ком.расходы тренера</t>
  </si>
  <si>
    <t>косгу 213 налоги с ЗП</t>
  </si>
  <si>
    <t>косгу 211  зп</t>
  </si>
  <si>
    <t>косгу 290 - по исп.листу - %, госпошлины</t>
  </si>
  <si>
    <t>косгу 290 - налог на имущество</t>
  </si>
  <si>
    <t>косгу 290 - транспортный налог, экология, госпошлины</t>
  </si>
  <si>
    <t>221</t>
  </si>
  <si>
    <t>223 т/э</t>
  </si>
  <si>
    <t>223 э/э</t>
  </si>
  <si>
    <t>223 вода</t>
  </si>
  <si>
    <t>225</t>
  </si>
  <si>
    <t>226</t>
  </si>
  <si>
    <t>340</t>
  </si>
  <si>
    <t>290</t>
  </si>
  <si>
    <t>офиц.соревнования</t>
  </si>
  <si>
    <t>223</t>
  </si>
  <si>
    <t>Китай</t>
  </si>
  <si>
    <t>222</t>
  </si>
  <si>
    <t>пособие мамам</t>
  </si>
  <si>
    <t>5154</t>
  </si>
  <si>
    <t>т/э</t>
  </si>
  <si>
    <t>э/э</t>
  </si>
  <si>
    <t>вода</t>
  </si>
  <si>
    <t>310</t>
  </si>
  <si>
    <t>1.4. Общая балансовая стоимость недвижимого муниципального имущества на дату составления плана финансово-хозяйственной деятельности, всего: 
25 010 899,58руб.
в том числе:
- закрепленного собственником имущества за учреждением на праве оперативного управления: 25 010 899,58руб.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</si>
  <si>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 xml:space="preserve">1.5. Общая балансовая стоимость движимого муниципального имущества на дату составления плана финансово-хозяйственной деятельности, всего: 3 734 976,15руб.
в том числе:
- балансовая стоимость особо ценного движимого имущества: 368 051,68
</t>
  </si>
  <si>
    <t>целевые</t>
  </si>
  <si>
    <t>от дтп</t>
  </si>
  <si>
    <t>косгу</t>
  </si>
  <si>
    <t>внебюджет</t>
  </si>
  <si>
    <t>4+5</t>
  </si>
  <si>
    <t>Работа №4  ост-к 2015г</t>
  </si>
  <si>
    <t>МЗ  (ост-к 2015г)</t>
  </si>
  <si>
    <t>МЗ без Кт15</t>
  </si>
  <si>
    <t>ТЭР 223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</si>
  <si>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2019 г.</t>
    </r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</si>
  <si>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___._____.</t>
    </r>
    <r>
      <rPr>
        <b/>
        <sz val="8"/>
        <rFont val="Times New Roman"/>
        <family val="1"/>
        <charset val="204"/>
      </rPr>
      <t>2017  г.</t>
    </r>
  </si>
  <si>
    <t>на   ____.______.2017г.</t>
  </si>
  <si>
    <t>на  _____.____.2017 г.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</si>
  <si>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</si>
  <si>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</si>
  <si>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</si>
  <si>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транспортный налог</t>
  </si>
  <si>
    <t>экология</t>
  </si>
  <si>
    <t>ОСТАТКИ НА 01.01.17</t>
  </si>
  <si>
    <t>на 01.01.2016г.</t>
  </si>
  <si>
    <t>План финансово-хозяйственной деятельности на 2017 год 
и плановый период 2018-2019 г.г</t>
  </si>
  <si>
    <t>"_____" ________________ 20___ г.</t>
  </si>
  <si>
    <t>косгу 212 мед.осмотр к.2019</t>
  </si>
  <si>
    <t>к2001, госпошлины</t>
  </si>
  <si>
    <t>косгу 212, ком.расх.тренера, к2010</t>
  </si>
  <si>
    <t>косгу 290 по внебюджету к2010 - учащиеся выездные меропр.</t>
  </si>
  <si>
    <t>офиц.соревнования - ост-к 2016г</t>
  </si>
  <si>
    <t xml:space="preserve">МЗ </t>
  </si>
  <si>
    <t>косгу 290 - (к.2001) + (3,41р  - к2021) - % тэку, самараэнерго и т.п.</t>
  </si>
  <si>
    <t>мз+дотация</t>
  </si>
  <si>
    <t>к4199</t>
  </si>
  <si>
    <t>РуководителЬ управления физической культуры и спорта мэрии городского округа Тольятти</t>
  </si>
  <si>
    <t>А.Е. Герунов</t>
  </si>
  <si>
    <t>Заместитель директора по спортивной работе
МБУДО СДЮСШОР № 4 "Шахматы"</t>
  </si>
  <si>
    <t>Л.А. Кратова</t>
  </si>
  <si>
    <t>5109</t>
  </si>
  <si>
    <t>оф.соревнования</t>
  </si>
  <si>
    <t>оф.сор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</si>
</sst>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\-#,##0.00\ "/>
    <numFmt numFmtId="165" formatCode="#,##0.0"/>
  </numFmts>
  <fonts count="28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11"/>
      <name val="Times New Roman"/>
      <family val="1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70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49" fontId="5" fillId="2" borderId="15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5" fillId="3" borderId="15" xfId="0" applyNumberFormat="1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/>
    <xf numFmtId="49" fontId="8" fillId="0" borderId="0" xfId="0" applyNumberFormat="1" applyFont="1" applyBorder="1" applyAlignment="1" applyProtection="1"/>
    <xf numFmtId="49" fontId="8" fillId="0" borderId="0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/>
    <xf numFmtId="0" fontId="8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right" wrapText="1"/>
    </xf>
    <xf numFmtId="49" fontId="8" fillId="0" borderId="0" xfId="0" applyNumberFormat="1" applyFont="1" applyBorder="1" applyAlignment="1" applyProtection="1">
      <alignment vertical="top"/>
    </xf>
    <xf numFmtId="49" fontId="8" fillId="0" borderId="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/>
    <xf numFmtId="0" fontId="0" fillId="0" borderId="0" xfId="0"/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top"/>
    </xf>
    <xf numFmtId="49" fontId="8" fillId="0" borderId="1" xfId="0" applyNumberFormat="1" applyFont="1" applyBorder="1" applyAlignment="1" applyProtection="1"/>
    <xf numFmtId="0" fontId="7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4" fillId="0" borderId="0" xfId="0" applyFont="1" applyBorder="1" applyAlignment="1" applyProtection="1"/>
    <xf numFmtId="0" fontId="13" fillId="0" borderId="0" xfId="0" applyFont="1" applyBorder="1" applyAlignment="1" applyProtection="1">
      <alignment wrapText="1"/>
    </xf>
    <xf numFmtId="0" fontId="15" fillId="0" borderId="0" xfId="0" applyFont="1"/>
    <xf numFmtId="0" fontId="13" fillId="0" borderId="0" xfId="0" applyFont="1" applyBorder="1" applyAlignment="1" applyProtection="1">
      <alignment horizontal="left" wrapText="1"/>
    </xf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/>
    </xf>
    <xf numFmtId="49" fontId="13" fillId="0" borderId="0" xfId="0" applyNumberFormat="1" applyFont="1" applyBorder="1" applyAlignment="1" applyProtection="1">
      <alignment horizontal="center" vertical="top"/>
    </xf>
    <xf numFmtId="0" fontId="11" fillId="0" borderId="0" xfId="0" applyFont="1" applyBorder="1" applyAlignment="1" applyProtection="1"/>
    <xf numFmtId="0" fontId="7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/>
    <xf numFmtId="0" fontId="13" fillId="0" borderId="0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wrapText="1"/>
    </xf>
    <xf numFmtId="0" fontId="0" fillId="0" borderId="0" xfId="0" applyAlignme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center" vertical="top" wrapText="1"/>
    </xf>
    <xf numFmtId="0" fontId="16" fillId="0" borderId="15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5" xfId="0" applyFont="1" applyBorder="1" applyAlignment="1">
      <alignment horizontal="left" vertical="top" wrapText="1" indent="1"/>
    </xf>
    <xf numFmtId="0" fontId="13" fillId="0" borderId="15" xfId="0" applyFont="1" applyBorder="1" applyAlignment="1">
      <alignment horizontal="left" vertical="top" wrapText="1" indent="3"/>
    </xf>
    <xf numFmtId="0" fontId="13" fillId="0" borderId="15" xfId="0" applyFont="1" applyBorder="1" applyAlignment="1">
      <alignment horizontal="left" vertical="top" wrapText="1" indent="2"/>
    </xf>
    <xf numFmtId="0" fontId="13" fillId="0" borderId="15" xfId="0" applyFont="1" applyBorder="1" applyAlignment="1">
      <alignment horizontal="left" vertical="top" wrapText="1" indent="4"/>
    </xf>
    <xf numFmtId="0" fontId="16" fillId="0" borderId="0" xfId="0" applyFont="1" applyAlignment="1">
      <alignment horizontal="justify"/>
    </xf>
    <xf numFmtId="0" fontId="13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justify"/>
    </xf>
    <xf numFmtId="0" fontId="0" fillId="0" borderId="0" xfId="0" applyAlignment="1">
      <alignment vertical="top"/>
    </xf>
    <xf numFmtId="0" fontId="13" fillId="0" borderId="0" xfId="0" applyFont="1" applyAlignment="1">
      <alignment horizontal="justify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0" fillId="0" borderId="1" xfId="0" applyBorder="1"/>
    <xf numFmtId="0" fontId="13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43" fontId="16" fillId="0" borderId="15" xfId="0" applyNumberFormat="1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43" fontId="13" fillId="0" borderId="15" xfId="0" applyNumberFormat="1" applyFont="1" applyBorder="1" applyAlignment="1">
      <alignment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top"/>
    </xf>
    <xf numFmtId="0" fontId="19" fillId="0" borderId="0" xfId="0" applyFont="1"/>
    <xf numFmtId="4" fontId="19" fillId="0" borderId="0" xfId="0" applyNumberFormat="1" applyFont="1" applyAlignment="1">
      <alignment horizontal="left"/>
    </xf>
    <xf numFmtId="43" fontId="5" fillId="0" borderId="15" xfId="0" applyNumberFormat="1" applyFont="1" applyBorder="1" applyAlignment="1" applyProtection="1">
      <alignment horizontal="center" vertical="center"/>
    </xf>
    <xf numFmtId="43" fontId="1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4" fontId="0" fillId="0" borderId="0" xfId="0" applyNumberFormat="1"/>
    <xf numFmtId="43" fontId="4" fillId="2" borderId="15" xfId="0" applyNumberFormat="1" applyFont="1" applyFill="1" applyBorder="1" applyAlignment="1" applyProtection="1">
      <alignment horizontal="center" vertical="center"/>
    </xf>
    <xf numFmtId="43" fontId="1" fillId="3" borderId="15" xfId="0" applyNumberFormat="1" applyFont="1" applyFill="1" applyBorder="1" applyAlignment="1" applyProtection="1">
      <alignment horizontal="center" vertical="center"/>
    </xf>
    <xf numFmtId="43" fontId="1" fillId="2" borderId="15" xfId="0" applyNumberFormat="1" applyFont="1" applyFill="1" applyBorder="1" applyAlignment="1" applyProtection="1">
      <alignment horizontal="center" vertical="center"/>
    </xf>
    <xf numFmtId="43" fontId="13" fillId="0" borderId="15" xfId="0" applyNumberFormat="1" applyFont="1" applyBorder="1" applyAlignment="1">
      <alignment wrapText="1"/>
    </xf>
    <xf numFmtId="43" fontId="2" fillId="2" borderId="11" xfId="0" applyNumberFormat="1" applyFont="1" applyFill="1" applyBorder="1" applyAlignment="1" applyProtection="1">
      <alignment horizontal="center" vertical="center"/>
    </xf>
    <xf numFmtId="164" fontId="19" fillId="0" borderId="0" xfId="0" applyNumberFormat="1" applyFont="1" applyAlignment="1">
      <alignment horizontal="left"/>
    </xf>
    <xf numFmtId="43" fontId="0" fillId="0" borderId="0" xfId="0" applyNumberFormat="1"/>
    <xf numFmtId="0" fontId="20" fillId="0" borderId="0" xfId="0" applyFont="1" applyAlignment="1">
      <alignment textRotation="90" wrapText="1"/>
    </xf>
    <xf numFmtId="165" fontId="19" fillId="0" borderId="2" xfId="0" applyNumberFormat="1" applyFont="1" applyBorder="1" applyAlignment="1">
      <alignment wrapText="1"/>
    </xf>
    <xf numFmtId="0" fontId="6" fillId="0" borderId="0" xfId="0" applyFont="1" applyAlignment="1">
      <alignment vertical="top"/>
    </xf>
    <xf numFmtId="0" fontId="6" fillId="4" borderId="0" xfId="0" applyFont="1" applyFill="1"/>
    <xf numFmtId="43" fontId="1" fillId="4" borderId="15" xfId="0" applyNumberFormat="1" applyFont="1" applyFill="1" applyBorder="1" applyAlignment="1" applyProtection="1">
      <alignment horizontal="center" vertical="center"/>
    </xf>
    <xf numFmtId="0" fontId="6" fillId="4" borderId="15" xfId="0" applyFont="1" applyFill="1" applyBorder="1"/>
    <xf numFmtId="0" fontId="6" fillId="4" borderId="15" xfId="0" applyFont="1" applyFill="1" applyBorder="1" applyAlignment="1">
      <alignment horizontal="right"/>
    </xf>
    <xf numFmtId="4" fontId="23" fillId="4" borderId="15" xfId="0" applyNumberFormat="1" applyFont="1" applyFill="1" applyBorder="1"/>
    <xf numFmtId="43" fontId="6" fillId="4" borderId="15" xfId="0" applyNumberFormat="1" applyFont="1" applyFill="1" applyBorder="1" applyAlignment="1">
      <alignment horizontal="right"/>
    </xf>
    <xf numFmtId="43" fontId="6" fillId="4" borderId="15" xfId="0" applyNumberFormat="1" applyFont="1" applyFill="1" applyBorder="1"/>
    <xf numFmtId="0" fontId="6" fillId="4" borderId="15" xfId="0" applyFont="1" applyFill="1" applyBorder="1" applyAlignment="1">
      <alignment horizontal="center"/>
    </xf>
    <xf numFmtId="4" fontId="6" fillId="4" borderId="15" xfId="0" applyNumberFormat="1" applyFont="1" applyFill="1" applyBorder="1"/>
    <xf numFmtId="0" fontId="6" fillId="5" borderId="15" xfId="0" applyFont="1" applyFill="1" applyBorder="1"/>
    <xf numFmtId="0" fontId="25" fillId="5" borderId="15" xfId="0" applyFont="1" applyFill="1" applyBorder="1" applyAlignment="1">
      <alignment horizontal="center" vertical="top" wrapText="1"/>
    </xf>
    <xf numFmtId="43" fontId="25" fillId="5" borderId="15" xfId="0" applyNumberFormat="1" applyFont="1" applyFill="1" applyBorder="1" applyAlignment="1">
      <alignment vertical="top" wrapText="1"/>
    </xf>
    <xf numFmtId="0" fontId="13" fillId="0" borderId="15" xfId="0" applyFont="1" applyBorder="1" applyAlignment="1">
      <alignment horizontal="center" vertical="top" wrapText="1"/>
    </xf>
    <xf numFmtId="43" fontId="6" fillId="0" borderId="0" xfId="0" applyNumberFormat="1" applyFont="1" applyAlignment="1">
      <alignment vertical="center"/>
    </xf>
    <xf numFmtId="43" fontId="2" fillId="2" borderId="15" xfId="0" applyNumberFormat="1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 wrapText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3" fontId="1" fillId="0" borderId="15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Alignment="1">
      <alignment vertical="center"/>
    </xf>
    <xf numFmtId="0" fontId="6" fillId="5" borderId="15" xfId="0" applyFont="1" applyFill="1" applyBorder="1" applyAlignment="1">
      <alignment horizontal="center"/>
    </xf>
    <xf numFmtId="4" fontId="6" fillId="0" borderId="0" xfId="0" applyNumberFormat="1" applyFont="1" applyAlignment="1">
      <alignment horizontal="center" vertical="top"/>
    </xf>
    <xf numFmtId="0" fontId="6" fillId="4" borderId="0" xfId="0" applyFont="1" applyFill="1" applyAlignment="1">
      <alignment vertical="center"/>
    </xf>
    <xf numFmtId="0" fontId="6" fillId="6" borderId="0" xfId="0" applyFont="1" applyFill="1" applyAlignment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vertical="top" wrapText="1"/>
    </xf>
    <xf numFmtId="43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3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43" fontId="23" fillId="0" borderId="0" xfId="0" applyNumberFormat="1" applyFont="1" applyAlignment="1">
      <alignment vertical="center"/>
    </xf>
    <xf numFmtId="49" fontId="14" fillId="0" borderId="1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49" fontId="8" fillId="0" borderId="0" xfId="0" applyNumberFormat="1" applyFont="1" applyBorder="1" applyAlignment="1" applyProtection="1">
      <alignment horizontal="center" vertical="center"/>
    </xf>
    <xf numFmtId="43" fontId="11" fillId="0" borderId="15" xfId="0" applyNumberFormat="1" applyFont="1" applyBorder="1" applyAlignment="1">
      <alignment vertical="top" wrapText="1"/>
    </xf>
    <xf numFmtId="43" fontId="16" fillId="0" borderId="15" xfId="0" applyNumberFormat="1" applyFont="1" applyFill="1" applyBorder="1" applyAlignment="1">
      <alignment vertical="top" wrapText="1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4" fontId="24" fillId="0" borderId="0" xfId="0" applyNumberFormat="1" applyFont="1" applyFill="1" applyBorder="1"/>
    <xf numFmtId="0" fontId="6" fillId="0" borderId="0" xfId="0" applyFont="1" applyFill="1"/>
    <xf numFmtId="0" fontId="1" fillId="0" borderId="3" xfId="0" applyFont="1" applyBorder="1" applyAlignment="1" applyProtection="1">
      <alignment horizontal="center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" fillId="4" borderId="3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vertical="top" wrapText="1"/>
    </xf>
    <xf numFmtId="4" fontId="6" fillId="4" borderId="0" xfId="0" applyNumberFormat="1" applyFont="1" applyFill="1"/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left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 vertical="top"/>
    </xf>
    <xf numFmtId="49" fontId="13" fillId="0" borderId="0" xfId="0" applyNumberFormat="1" applyFont="1" applyBorder="1" applyAlignment="1" applyProtection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</xf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</xf>
    <xf numFmtId="49" fontId="8" fillId="0" borderId="6" xfId="0" applyNumberFormat="1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center"/>
    </xf>
    <xf numFmtId="49" fontId="14" fillId="0" borderId="1" xfId="0" applyNumberFormat="1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"/>
    </xf>
    <xf numFmtId="49" fontId="8" fillId="0" borderId="5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8" fillId="0" borderId="0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8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/>
    </xf>
    <xf numFmtId="0" fontId="8" fillId="0" borderId="1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center" vertical="top" wrapText="1"/>
    </xf>
    <xf numFmtId="0" fontId="1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1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26" fillId="4" borderId="3" xfId="0" applyFont="1" applyFill="1" applyBorder="1" applyAlignment="1" applyProtection="1">
      <alignment horizontal="left" vertical="top" wrapText="1"/>
    </xf>
    <xf numFmtId="0" fontId="26" fillId="4" borderId="4" xfId="0" applyFont="1" applyFill="1" applyBorder="1" applyAlignment="1" applyProtection="1">
      <alignment horizontal="left" vertical="top" wrapText="1"/>
    </xf>
    <xf numFmtId="0" fontId="26" fillId="4" borderId="5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1" fillId="4" borderId="3" xfId="0" applyFont="1" applyFill="1" applyBorder="1" applyAlignment="1" applyProtection="1">
      <alignment horizontal="right" wrapText="1"/>
    </xf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right" wrapText="1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6" fillId="4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 applyProtection="1">
      <alignment horizontal="right" vertical="top" wrapText="1"/>
    </xf>
    <xf numFmtId="0" fontId="1" fillId="4" borderId="2" xfId="0" applyFont="1" applyFill="1" applyBorder="1" applyAlignment="1" applyProtection="1">
      <alignment horizontal="right" vertical="top" wrapText="1"/>
    </xf>
    <xf numFmtId="0" fontId="1" fillId="4" borderId="9" xfId="0" applyFont="1" applyFill="1" applyBorder="1" applyAlignment="1" applyProtection="1">
      <alignment horizontal="right" vertical="top" wrapText="1"/>
    </xf>
    <xf numFmtId="0" fontId="1" fillId="4" borderId="11" xfId="0" applyFont="1" applyFill="1" applyBorder="1" applyAlignment="1" applyProtection="1">
      <alignment horizontal="right" vertical="top" wrapText="1"/>
    </xf>
    <xf numFmtId="0" fontId="1" fillId="4" borderId="0" xfId="0" applyFont="1" applyFill="1" applyBorder="1" applyAlignment="1" applyProtection="1">
      <alignment horizontal="right" vertical="top" wrapText="1"/>
    </xf>
    <xf numFmtId="0" fontId="1" fillId="4" borderId="12" xfId="0" applyFont="1" applyFill="1" applyBorder="1" applyAlignment="1" applyProtection="1">
      <alignment horizontal="right" vertical="top" wrapText="1"/>
    </xf>
    <xf numFmtId="0" fontId="1" fillId="4" borderId="15" xfId="0" applyFont="1" applyFill="1" applyBorder="1" applyAlignment="1" applyProtection="1">
      <alignment horizontal="center" vertical="top" wrapText="1"/>
    </xf>
    <xf numFmtId="0" fontId="1" fillId="4" borderId="6" xfId="0" applyFont="1" applyFill="1" applyBorder="1" applyAlignment="1" applyProtection="1">
      <alignment horizontal="right" vertical="top" wrapText="1"/>
    </xf>
    <xf numFmtId="0" fontId="1" fillId="4" borderId="1" xfId="0" applyFont="1" applyFill="1" applyBorder="1" applyAlignment="1" applyProtection="1">
      <alignment horizontal="right" vertical="top" wrapText="1"/>
    </xf>
    <xf numFmtId="0" fontId="1" fillId="4" borderId="7" xfId="0" applyFont="1" applyFill="1" applyBorder="1" applyAlignment="1" applyProtection="1">
      <alignment horizontal="right" vertical="top" wrapText="1"/>
    </xf>
    <xf numFmtId="4" fontId="6" fillId="4" borderId="3" xfId="0" applyNumberFormat="1" applyFont="1" applyFill="1" applyBorder="1" applyAlignment="1">
      <alignment horizontal="center"/>
    </xf>
    <xf numFmtId="4" fontId="6" fillId="4" borderId="5" xfId="0" applyNumberFormat="1" applyFont="1" applyFill="1" applyBorder="1" applyAlignment="1">
      <alignment horizontal="center"/>
    </xf>
    <xf numFmtId="43" fontId="24" fillId="5" borderId="10" xfId="0" applyNumberFormat="1" applyFont="1" applyFill="1" applyBorder="1" applyAlignment="1">
      <alignment horizontal="center" textRotation="90"/>
    </xf>
    <xf numFmtId="0" fontId="24" fillId="5" borderId="13" xfId="0" applyFont="1" applyFill="1" applyBorder="1" applyAlignment="1">
      <alignment horizontal="center" textRotation="90"/>
    </xf>
    <xf numFmtId="0" fontId="24" fillId="5" borderId="14" xfId="0" applyFont="1" applyFill="1" applyBorder="1" applyAlignment="1">
      <alignment horizontal="center" textRotation="90"/>
    </xf>
    <xf numFmtId="0" fontId="5" fillId="0" borderId="4" xfId="0" applyFont="1" applyBorder="1" applyAlignment="1" applyProtection="1">
      <alignment horizontal="left" vertical="top" wrapText="1"/>
    </xf>
    <xf numFmtId="0" fontId="5" fillId="0" borderId="13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5" fillId="3" borderId="4" xfId="0" applyFont="1" applyFill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vertical="top" wrapText="1"/>
    </xf>
    <xf numFmtId="0" fontId="13" fillId="0" borderId="15" xfId="0" applyFont="1" applyBorder="1" applyAlignment="1">
      <alignment horizontal="center" vertical="top" wrapText="1"/>
    </xf>
    <xf numFmtId="0" fontId="6" fillId="0" borderId="15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I42"/>
  <sheetViews>
    <sheetView view="pageBreakPreview" zoomScale="60" zoomScaleNormal="100" workbookViewId="0">
      <selection activeCell="DZ14" sqref="DZ14"/>
    </sheetView>
  </sheetViews>
  <sheetFormatPr defaultRowHeight="12.75"/>
  <cols>
    <col min="1" max="1" width="0.85546875" style="34" customWidth="1"/>
    <col min="2" max="40" width="1.140625" style="34" customWidth="1"/>
    <col min="41" max="114" width="0.85546875" style="34" customWidth="1"/>
    <col min="115" max="115" width="1.5703125" style="34" customWidth="1"/>
    <col min="116" max="116" width="1.7109375" style="34" customWidth="1"/>
    <col min="117" max="127" width="0.85546875" style="34" customWidth="1"/>
    <col min="128" max="128" width="0.42578125" style="34" customWidth="1"/>
    <col min="129" max="129" width="0.85546875" style="34" hidden="1" customWidth="1"/>
    <col min="130" max="130" width="74.140625" style="34" customWidth="1"/>
    <col min="131" max="165" width="0.85546875" style="34" customWidth="1"/>
    <col min="166" max="256" width="9.140625" style="34"/>
    <col min="257" max="257" width="0.85546875" style="34" customWidth="1"/>
    <col min="258" max="296" width="1.140625" style="34" customWidth="1"/>
    <col min="297" max="421" width="0.85546875" style="34" customWidth="1"/>
    <col min="422" max="512" width="9.140625" style="34"/>
    <col min="513" max="513" width="0.85546875" style="34" customWidth="1"/>
    <col min="514" max="552" width="1.140625" style="34" customWidth="1"/>
    <col min="553" max="677" width="0.85546875" style="34" customWidth="1"/>
    <col min="678" max="768" width="9.140625" style="34"/>
    <col min="769" max="769" width="0.85546875" style="34" customWidth="1"/>
    <col min="770" max="808" width="1.140625" style="34" customWidth="1"/>
    <col min="809" max="933" width="0.85546875" style="34" customWidth="1"/>
    <col min="934" max="1024" width="9.140625" style="34"/>
    <col min="1025" max="1025" width="0.85546875" style="34" customWidth="1"/>
    <col min="1026" max="1064" width="1.140625" style="34" customWidth="1"/>
    <col min="1065" max="1189" width="0.85546875" style="34" customWidth="1"/>
    <col min="1190" max="1280" width="9.140625" style="34"/>
    <col min="1281" max="1281" width="0.85546875" style="34" customWidth="1"/>
    <col min="1282" max="1320" width="1.140625" style="34" customWidth="1"/>
    <col min="1321" max="1445" width="0.85546875" style="34" customWidth="1"/>
    <col min="1446" max="1536" width="9.140625" style="34"/>
    <col min="1537" max="1537" width="0.85546875" style="34" customWidth="1"/>
    <col min="1538" max="1576" width="1.140625" style="34" customWidth="1"/>
    <col min="1577" max="1701" width="0.85546875" style="34" customWidth="1"/>
    <col min="1702" max="1792" width="9.140625" style="34"/>
    <col min="1793" max="1793" width="0.85546875" style="34" customWidth="1"/>
    <col min="1794" max="1832" width="1.140625" style="34" customWidth="1"/>
    <col min="1833" max="1957" width="0.85546875" style="34" customWidth="1"/>
    <col min="1958" max="2048" width="9.140625" style="34"/>
    <col min="2049" max="2049" width="0.85546875" style="34" customWidth="1"/>
    <col min="2050" max="2088" width="1.140625" style="34" customWidth="1"/>
    <col min="2089" max="2213" width="0.85546875" style="34" customWidth="1"/>
    <col min="2214" max="2304" width="9.140625" style="34"/>
    <col min="2305" max="2305" width="0.85546875" style="34" customWidth="1"/>
    <col min="2306" max="2344" width="1.140625" style="34" customWidth="1"/>
    <col min="2345" max="2469" width="0.85546875" style="34" customWidth="1"/>
    <col min="2470" max="2560" width="9.140625" style="34"/>
    <col min="2561" max="2561" width="0.85546875" style="34" customWidth="1"/>
    <col min="2562" max="2600" width="1.140625" style="34" customWidth="1"/>
    <col min="2601" max="2725" width="0.85546875" style="34" customWidth="1"/>
    <col min="2726" max="2816" width="9.140625" style="34"/>
    <col min="2817" max="2817" width="0.85546875" style="34" customWidth="1"/>
    <col min="2818" max="2856" width="1.140625" style="34" customWidth="1"/>
    <col min="2857" max="2981" width="0.85546875" style="34" customWidth="1"/>
    <col min="2982" max="3072" width="9.140625" style="34"/>
    <col min="3073" max="3073" width="0.85546875" style="34" customWidth="1"/>
    <col min="3074" max="3112" width="1.140625" style="34" customWidth="1"/>
    <col min="3113" max="3237" width="0.85546875" style="34" customWidth="1"/>
    <col min="3238" max="3328" width="9.140625" style="34"/>
    <col min="3329" max="3329" width="0.85546875" style="34" customWidth="1"/>
    <col min="3330" max="3368" width="1.140625" style="34" customWidth="1"/>
    <col min="3369" max="3493" width="0.85546875" style="34" customWidth="1"/>
    <col min="3494" max="3584" width="9.140625" style="34"/>
    <col min="3585" max="3585" width="0.85546875" style="34" customWidth="1"/>
    <col min="3586" max="3624" width="1.140625" style="34" customWidth="1"/>
    <col min="3625" max="3749" width="0.85546875" style="34" customWidth="1"/>
    <col min="3750" max="3840" width="9.140625" style="34"/>
    <col min="3841" max="3841" width="0.85546875" style="34" customWidth="1"/>
    <col min="3842" max="3880" width="1.140625" style="34" customWidth="1"/>
    <col min="3881" max="4005" width="0.85546875" style="34" customWidth="1"/>
    <col min="4006" max="4096" width="9.140625" style="34"/>
    <col min="4097" max="4097" width="0.85546875" style="34" customWidth="1"/>
    <col min="4098" max="4136" width="1.140625" style="34" customWidth="1"/>
    <col min="4137" max="4261" width="0.85546875" style="34" customWidth="1"/>
    <col min="4262" max="4352" width="9.140625" style="34"/>
    <col min="4353" max="4353" width="0.85546875" style="34" customWidth="1"/>
    <col min="4354" max="4392" width="1.140625" style="34" customWidth="1"/>
    <col min="4393" max="4517" width="0.85546875" style="34" customWidth="1"/>
    <col min="4518" max="4608" width="9.140625" style="34"/>
    <col min="4609" max="4609" width="0.85546875" style="34" customWidth="1"/>
    <col min="4610" max="4648" width="1.140625" style="34" customWidth="1"/>
    <col min="4649" max="4773" width="0.85546875" style="34" customWidth="1"/>
    <col min="4774" max="4864" width="9.140625" style="34"/>
    <col min="4865" max="4865" width="0.85546875" style="34" customWidth="1"/>
    <col min="4866" max="4904" width="1.140625" style="34" customWidth="1"/>
    <col min="4905" max="5029" width="0.85546875" style="34" customWidth="1"/>
    <col min="5030" max="5120" width="9.140625" style="34"/>
    <col min="5121" max="5121" width="0.85546875" style="34" customWidth="1"/>
    <col min="5122" max="5160" width="1.140625" style="34" customWidth="1"/>
    <col min="5161" max="5285" width="0.85546875" style="34" customWidth="1"/>
    <col min="5286" max="5376" width="9.140625" style="34"/>
    <col min="5377" max="5377" width="0.85546875" style="34" customWidth="1"/>
    <col min="5378" max="5416" width="1.140625" style="34" customWidth="1"/>
    <col min="5417" max="5541" width="0.85546875" style="34" customWidth="1"/>
    <col min="5542" max="5632" width="9.140625" style="34"/>
    <col min="5633" max="5633" width="0.85546875" style="34" customWidth="1"/>
    <col min="5634" max="5672" width="1.140625" style="34" customWidth="1"/>
    <col min="5673" max="5797" width="0.85546875" style="34" customWidth="1"/>
    <col min="5798" max="5888" width="9.140625" style="34"/>
    <col min="5889" max="5889" width="0.85546875" style="34" customWidth="1"/>
    <col min="5890" max="5928" width="1.140625" style="34" customWidth="1"/>
    <col min="5929" max="6053" width="0.85546875" style="34" customWidth="1"/>
    <col min="6054" max="6144" width="9.140625" style="34"/>
    <col min="6145" max="6145" width="0.85546875" style="34" customWidth="1"/>
    <col min="6146" max="6184" width="1.140625" style="34" customWidth="1"/>
    <col min="6185" max="6309" width="0.85546875" style="34" customWidth="1"/>
    <col min="6310" max="6400" width="9.140625" style="34"/>
    <col min="6401" max="6401" width="0.85546875" style="34" customWidth="1"/>
    <col min="6402" max="6440" width="1.140625" style="34" customWidth="1"/>
    <col min="6441" max="6565" width="0.85546875" style="34" customWidth="1"/>
    <col min="6566" max="6656" width="9.140625" style="34"/>
    <col min="6657" max="6657" width="0.85546875" style="34" customWidth="1"/>
    <col min="6658" max="6696" width="1.140625" style="34" customWidth="1"/>
    <col min="6697" max="6821" width="0.85546875" style="34" customWidth="1"/>
    <col min="6822" max="6912" width="9.140625" style="34"/>
    <col min="6913" max="6913" width="0.85546875" style="34" customWidth="1"/>
    <col min="6914" max="6952" width="1.140625" style="34" customWidth="1"/>
    <col min="6953" max="7077" width="0.85546875" style="34" customWidth="1"/>
    <col min="7078" max="7168" width="9.140625" style="34"/>
    <col min="7169" max="7169" width="0.85546875" style="34" customWidth="1"/>
    <col min="7170" max="7208" width="1.140625" style="34" customWidth="1"/>
    <col min="7209" max="7333" width="0.85546875" style="34" customWidth="1"/>
    <col min="7334" max="7424" width="9.140625" style="34"/>
    <col min="7425" max="7425" width="0.85546875" style="34" customWidth="1"/>
    <col min="7426" max="7464" width="1.140625" style="34" customWidth="1"/>
    <col min="7465" max="7589" width="0.85546875" style="34" customWidth="1"/>
    <col min="7590" max="7680" width="9.140625" style="34"/>
    <col min="7681" max="7681" width="0.85546875" style="34" customWidth="1"/>
    <col min="7682" max="7720" width="1.140625" style="34" customWidth="1"/>
    <col min="7721" max="7845" width="0.85546875" style="34" customWidth="1"/>
    <col min="7846" max="7936" width="9.140625" style="34"/>
    <col min="7937" max="7937" width="0.85546875" style="34" customWidth="1"/>
    <col min="7938" max="7976" width="1.140625" style="34" customWidth="1"/>
    <col min="7977" max="8101" width="0.85546875" style="34" customWidth="1"/>
    <col min="8102" max="8192" width="9.140625" style="34"/>
    <col min="8193" max="8193" width="0.85546875" style="34" customWidth="1"/>
    <col min="8194" max="8232" width="1.140625" style="34" customWidth="1"/>
    <col min="8233" max="8357" width="0.85546875" style="34" customWidth="1"/>
    <col min="8358" max="8448" width="9.140625" style="34"/>
    <col min="8449" max="8449" width="0.85546875" style="34" customWidth="1"/>
    <col min="8450" max="8488" width="1.140625" style="34" customWidth="1"/>
    <col min="8489" max="8613" width="0.85546875" style="34" customWidth="1"/>
    <col min="8614" max="8704" width="9.140625" style="34"/>
    <col min="8705" max="8705" width="0.85546875" style="34" customWidth="1"/>
    <col min="8706" max="8744" width="1.140625" style="34" customWidth="1"/>
    <col min="8745" max="8869" width="0.85546875" style="34" customWidth="1"/>
    <col min="8870" max="8960" width="9.140625" style="34"/>
    <col min="8961" max="8961" width="0.85546875" style="34" customWidth="1"/>
    <col min="8962" max="9000" width="1.140625" style="34" customWidth="1"/>
    <col min="9001" max="9125" width="0.85546875" style="34" customWidth="1"/>
    <col min="9126" max="9216" width="9.140625" style="34"/>
    <col min="9217" max="9217" width="0.85546875" style="34" customWidth="1"/>
    <col min="9218" max="9256" width="1.140625" style="34" customWidth="1"/>
    <col min="9257" max="9381" width="0.85546875" style="34" customWidth="1"/>
    <col min="9382" max="9472" width="9.140625" style="34"/>
    <col min="9473" max="9473" width="0.85546875" style="34" customWidth="1"/>
    <col min="9474" max="9512" width="1.140625" style="34" customWidth="1"/>
    <col min="9513" max="9637" width="0.85546875" style="34" customWidth="1"/>
    <col min="9638" max="9728" width="9.140625" style="34"/>
    <col min="9729" max="9729" width="0.85546875" style="34" customWidth="1"/>
    <col min="9730" max="9768" width="1.140625" style="34" customWidth="1"/>
    <col min="9769" max="9893" width="0.85546875" style="34" customWidth="1"/>
    <col min="9894" max="9984" width="9.140625" style="34"/>
    <col min="9985" max="9985" width="0.85546875" style="34" customWidth="1"/>
    <col min="9986" max="10024" width="1.140625" style="34" customWidth="1"/>
    <col min="10025" max="10149" width="0.85546875" style="34" customWidth="1"/>
    <col min="10150" max="10240" width="9.140625" style="34"/>
    <col min="10241" max="10241" width="0.85546875" style="34" customWidth="1"/>
    <col min="10242" max="10280" width="1.140625" style="34" customWidth="1"/>
    <col min="10281" max="10405" width="0.85546875" style="34" customWidth="1"/>
    <col min="10406" max="10496" width="9.140625" style="34"/>
    <col min="10497" max="10497" width="0.85546875" style="34" customWidth="1"/>
    <col min="10498" max="10536" width="1.140625" style="34" customWidth="1"/>
    <col min="10537" max="10661" width="0.85546875" style="34" customWidth="1"/>
    <col min="10662" max="10752" width="9.140625" style="34"/>
    <col min="10753" max="10753" width="0.85546875" style="34" customWidth="1"/>
    <col min="10754" max="10792" width="1.140625" style="34" customWidth="1"/>
    <col min="10793" max="10917" width="0.85546875" style="34" customWidth="1"/>
    <col min="10918" max="11008" width="9.140625" style="34"/>
    <col min="11009" max="11009" width="0.85546875" style="34" customWidth="1"/>
    <col min="11010" max="11048" width="1.140625" style="34" customWidth="1"/>
    <col min="11049" max="11173" width="0.85546875" style="34" customWidth="1"/>
    <col min="11174" max="11264" width="9.140625" style="34"/>
    <col min="11265" max="11265" width="0.85546875" style="34" customWidth="1"/>
    <col min="11266" max="11304" width="1.140625" style="34" customWidth="1"/>
    <col min="11305" max="11429" width="0.85546875" style="34" customWidth="1"/>
    <col min="11430" max="11520" width="9.140625" style="34"/>
    <col min="11521" max="11521" width="0.85546875" style="34" customWidth="1"/>
    <col min="11522" max="11560" width="1.140625" style="34" customWidth="1"/>
    <col min="11561" max="11685" width="0.85546875" style="34" customWidth="1"/>
    <col min="11686" max="11776" width="9.140625" style="34"/>
    <col min="11777" max="11777" width="0.85546875" style="34" customWidth="1"/>
    <col min="11778" max="11816" width="1.140625" style="34" customWidth="1"/>
    <col min="11817" max="11941" width="0.85546875" style="34" customWidth="1"/>
    <col min="11942" max="12032" width="9.140625" style="34"/>
    <col min="12033" max="12033" width="0.85546875" style="34" customWidth="1"/>
    <col min="12034" max="12072" width="1.140625" style="34" customWidth="1"/>
    <col min="12073" max="12197" width="0.85546875" style="34" customWidth="1"/>
    <col min="12198" max="12288" width="9.140625" style="34"/>
    <col min="12289" max="12289" width="0.85546875" style="34" customWidth="1"/>
    <col min="12290" max="12328" width="1.140625" style="34" customWidth="1"/>
    <col min="12329" max="12453" width="0.85546875" style="34" customWidth="1"/>
    <col min="12454" max="12544" width="9.140625" style="34"/>
    <col min="12545" max="12545" width="0.85546875" style="34" customWidth="1"/>
    <col min="12546" max="12584" width="1.140625" style="34" customWidth="1"/>
    <col min="12585" max="12709" width="0.85546875" style="34" customWidth="1"/>
    <col min="12710" max="12800" width="9.140625" style="34"/>
    <col min="12801" max="12801" width="0.85546875" style="34" customWidth="1"/>
    <col min="12802" max="12840" width="1.140625" style="34" customWidth="1"/>
    <col min="12841" max="12965" width="0.85546875" style="34" customWidth="1"/>
    <col min="12966" max="13056" width="9.140625" style="34"/>
    <col min="13057" max="13057" width="0.85546875" style="34" customWidth="1"/>
    <col min="13058" max="13096" width="1.140625" style="34" customWidth="1"/>
    <col min="13097" max="13221" width="0.85546875" style="34" customWidth="1"/>
    <col min="13222" max="13312" width="9.140625" style="34"/>
    <col min="13313" max="13313" width="0.85546875" style="34" customWidth="1"/>
    <col min="13314" max="13352" width="1.140625" style="34" customWidth="1"/>
    <col min="13353" max="13477" width="0.85546875" style="34" customWidth="1"/>
    <col min="13478" max="13568" width="9.140625" style="34"/>
    <col min="13569" max="13569" width="0.85546875" style="34" customWidth="1"/>
    <col min="13570" max="13608" width="1.140625" style="34" customWidth="1"/>
    <col min="13609" max="13733" width="0.85546875" style="34" customWidth="1"/>
    <col min="13734" max="13824" width="9.140625" style="34"/>
    <col min="13825" max="13825" width="0.85546875" style="34" customWidth="1"/>
    <col min="13826" max="13864" width="1.140625" style="34" customWidth="1"/>
    <col min="13865" max="13989" width="0.85546875" style="34" customWidth="1"/>
    <col min="13990" max="14080" width="9.140625" style="34"/>
    <col min="14081" max="14081" width="0.85546875" style="34" customWidth="1"/>
    <col min="14082" max="14120" width="1.140625" style="34" customWidth="1"/>
    <col min="14121" max="14245" width="0.85546875" style="34" customWidth="1"/>
    <col min="14246" max="14336" width="9.140625" style="34"/>
    <col min="14337" max="14337" width="0.85546875" style="34" customWidth="1"/>
    <col min="14338" max="14376" width="1.140625" style="34" customWidth="1"/>
    <col min="14377" max="14501" width="0.85546875" style="34" customWidth="1"/>
    <col min="14502" max="14592" width="9.140625" style="34"/>
    <col min="14593" max="14593" width="0.85546875" style="34" customWidth="1"/>
    <col min="14594" max="14632" width="1.140625" style="34" customWidth="1"/>
    <col min="14633" max="14757" width="0.85546875" style="34" customWidth="1"/>
    <col min="14758" max="14848" width="9.140625" style="34"/>
    <col min="14849" max="14849" width="0.85546875" style="34" customWidth="1"/>
    <col min="14850" max="14888" width="1.140625" style="34" customWidth="1"/>
    <col min="14889" max="15013" width="0.85546875" style="34" customWidth="1"/>
    <col min="15014" max="15104" width="9.140625" style="34"/>
    <col min="15105" max="15105" width="0.85546875" style="34" customWidth="1"/>
    <col min="15106" max="15144" width="1.140625" style="34" customWidth="1"/>
    <col min="15145" max="15269" width="0.85546875" style="34" customWidth="1"/>
    <col min="15270" max="15360" width="9.140625" style="34"/>
    <col min="15361" max="15361" width="0.85546875" style="34" customWidth="1"/>
    <col min="15362" max="15400" width="1.140625" style="34" customWidth="1"/>
    <col min="15401" max="15525" width="0.85546875" style="34" customWidth="1"/>
    <col min="15526" max="15616" width="9.140625" style="34"/>
    <col min="15617" max="15617" width="0.85546875" style="34" customWidth="1"/>
    <col min="15618" max="15656" width="1.140625" style="34" customWidth="1"/>
    <col min="15657" max="15781" width="0.85546875" style="34" customWidth="1"/>
    <col min="15782" max="15872" width="9.140625" style="34"/>
    <col min="15873" max="15873" width="0.85546875" style="34" customWidth="1"/>
    <col min="15874" max="15912" width="1.140625" style="34" customWidth="1"/>
    <col min="15913" max="16037" width="0.85546875" style="34" customWidth="1"/>
    <col min="16038" max="16128" width="9.140625" style="34"/>
    <col min="16129" max="16129" width="0.85546875" style="34" customWidth="1"/>
    <col min="16130" max="16168" width="1.140625" style="34" customWidth="1"/>
    <col min="16169" max="16293" width="0.85546875" style="34" customWidth="1"/>
    <col min="16294" max="16384" width="9.140625" style="34"/>
  </cols>
  <sheetData>
    <row r="1" spans="1:155">
      <c r="N1" s="18"/>
    </row>
    <row r="2" spans="1:155" ht="15">
      <c r="A2" s="33"/>
      <c r="B2" s="33"/>
      <c r="C2" s="33"/>
      <c r="D2" s="33"/>
      <c r="E2" s="33"/>
      <c r="F2" s="33"/>
      <c r="G2" s="189" t="s">
        <v>80</v>
      </c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CD2" s="189" t="s">
        <v>64</v>
      </c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36"/>
      <c r="DU2" s="136"/>
      <c r="DV2" s="136"/>
    </row>
    <row r="3" spans="1:155" ht="49.5" customHeight="1">
      <c r="A3" s="33"/>
      <c r="B3" s="33"/>
      <c r="C3" s="33"/>
      <c r="D3" s="33"/>
      <c r="E3" s="33"/>
      <c r="F3" s="33"/>
      <c r="G3" s="195" t="s">
        <v>233</v>
      </c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CD3" s="195" t="s">
        <v>235</v>
      </c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36"/>
      <c r="DU3" s="136"/>
      <c r="DV3" s="136"/>
      <c r="DW3" s="43"/>
    </row>
    <row r="4" spans="1:155" ht="24.75" customHeight="1">
      <c r="A4" s="19"/>
      <c r="B4" s="19"/>
      <c r="C4" s="19"/>
      <c r="D4" s="19"/>
      <c r="E4" s="19"/>
      <c r="F4" s="19"/>
      <c r="G4" s="196" t="s">
        <v>81</v>
      </c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CD4" s="196" t="s">
        <v>65</v>
      </c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54"/>
      <c r="DU4" s="54"/>
      <c r="DV4" s="54"/>
      <c r="DW4" s="43"/>
    </row>
    <row r="5" spans="1:155" ht="15">
      <c r="A5" s="33"/>
      <c r="B5" s="33"/>
      <c r="C5" s="33"/>
      <c r="D5" s="33"/>
      <c r="E5" s="33"/>
      <c r="F5" s="33"/>
      <c r="G5" s="184" t="s">
        <v>234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CD5" s="184" t="s">
        <v>236</v>
      </c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36"/>
      <c r="DU5" s="136"/>
      <c r="DV5" s="136"/>
      <c r="DW5" s="43"/>
    </row>
    <row r="6" spans="1:155">
      <c r="A6" s="20"/>
      <c r="B6" s="20"/>
      <c r="C6" s="20"/>
      <c r="D6" s="20"/>
      <c r="E6" s="20"/>
      <c r="F6" s="20"/>
      <c r="G6" s="185" t="s">
        <v>66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20"/>
      <c r="W6" s="20"/>
      <c r="X6" s="185" t="s">
        <v>67</v>
      </c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CD6" s="185" t="s">
        <v>66</v>
      </c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20"/>
      <c r="CW6" s="20"/>
      <c r="CX6" s="20"/>
      <c r="CY6" s="20"/>
      <c r="CZ6" s="40" t="s">
        <v>67</v>
      </c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2"/>
      <c r="DU6" s="42"/>
      <c r="DV6" s="42"/>
    </row>
    <row r="7" spans="1:155" ht="15.2" customHeight="1">
      <c r="A7" s="21"/>
      <c r="B7" s="21"/>
      <c r="C7" s="21"/>
      <c r="D7" s="21"/>
      <c r="E7" s="137"/>
      <c r="F7" s="22"/>
      <c r="I7" s="137" t="s">
        <v>68</v>
      </c>
      <c r="J7" s="41"/>
      <c r="K7" s="41"/>
      <c r="L7" s="33" t="s">
        <v>68</v>
      </c>
      <c r="M7" s="22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7" t="s">
        <v>78</v>
      </c>
      <c r="AE7" s="187"/>
      <c r="AF7" s="187"/>
      <c r="AG7" s="188"/>
      <c r="AH7" s="188"/>
      <c r="AI7" s="188"/>
      <c r="AJ7" s="189" t="s">
        <v>79</v>
      </c>
      <c r="AK7" s="189"/>
      <c r="AL7" s="33"/>
      <c r="AM7" s="22"/>
      <c r="AN7" s="22"/>
      <c r="AO7" s="22"/>
      <c r="AP7" s="22"/>
      <c r="AQ7" s="33"/>
      <c r="CH7" s="137" t="s">
        <v>68</v>
      </c>
      <c r="CI7" s="190"/>
      <c r="CJ7" s="190"/>
      <c r="CK7" s="190"/>
      <c r="CL7" s="190"/>
      <c r="CM7" s="33" t="s">
        <v>68</v>
      </c>
      <c r="CP7" s="191" t="s">
        <v>139</v>
      </c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2">
        <v>20</v>
      </c>
      <c r="DJ7" s="192"/>
      <c r="DK7" s="192"/>
      <c r="DL7" s="190"/>
      <c r="DM7" s="190"/>
      <c r="DN7" s="190"/>
      <c r="DO7" s="190"/>
      <c r="DP7" s="33" t="s">
        <v>69</v>
      </c>
    </row>
    <row r="8" spans="1:155" ht="15">
      <c r="BN8" s="33"/>
      <c r="CY8" s="23"/>
      <c r="DF8" s="33"/>
      <c r="DG8" s="33"/>
    </row>
    <row r="9" spans="1:155" ht="45.75" customHeight="1">
      <c r="A9" s="193" t="s">
        <v>222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</row>
    <row r="10" spans="1:155" ht="39" customHeight="1">
      <c r="DF10" s="33"/>
    </row>
    <row r="11" spans="1:155" ht="15">
      <c r="DJ11" s="194" t="s">
        <v>70</v>
      </c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</row>
    <row r="12" spans="1:155" ht="15.2" customHeight="1"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DH12" s="137" t="s">
        <v>71</v>
      </c>
      <c r="DJ12" s="181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3"/>
    </row>
    <row r="13" spans="1:155" ht="15.2" customHeight="1">
      <c r="X13" s="43"/>
      <c r="Y13" s="43"/>
      <c r="Z13" s="43"/>
      <c r="AA13" s="43"/>
      <c r="AB13" s="43"/>
      <c r="AC13" s="24"/>
      <c r="AD13" s="178"/>
      <c r="AE13" s="178"/>
      <c r="AF13" s="178"/>
      <c r="AG13" s="178"/>
      <c r="AH13" s="25"/>
      <c r="AI13" s="25"/>
      <c r="AJ13" s="25" t="s">
        <v>68</v>
      </c>
      <c r="AK13" s="25"/>
      <c r="AL13" s="135"/>
      <c r="AM13" s="135"/>
      <c r="AN13" s="135"/>
      <c r="AO13" s="135"/>
      <c r="AP13" s="44" t="s">
        <v>68</v>
      </c>
      <c r="AQ13" s="44"/>
      <c r="AR13" s="44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44">
        <v>20</v>
      </c>
      <c r="BL13" s="180"/>
      <c r="BM13" s="180"/>
      <c r="BN13" s="180"/>
      <c r="BO13" s="180"/>
      <c r="BP13" s="180"/>
      <c r="BQ13" s="180"/>
      <c r="BR13" s="180"/>
      <c r="BS13" s="25" t="s">
        <v>69</v>
      </c>
      <c r="BT13" s="25"/>
      <c r="CT13" s="26"/>
      <c r="DH13" s="137" t="s">
        <v>72</v>
      </c>
      <c r="DJ13" s="181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3"/>
    </row>
    <row r="14" spans="1:155" ht="24" customHeight="1">
      <c r="BH14" s="33"/>
      <c r="CT14" s="26"/>
      <c r="CU14" s="26"/>
      <c r="DH14" s="137"/>
      <c r="DJ14" s="181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3"/>
    </row>
    <row r="15" spans="1:155" ht="15">
      <c r="CT15" s="26"/>
      <c r="CU15" s="26"/>
      <c r="DH15" s="137"/>
      <c r="DJ15" s="181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3"/>
    </row>
    <row r="16" spans="1:155" ht="15.2" customHeight="1">
      <c r="A16" s="166" t="s">
        <v>82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56"/>
      <c r="AM16" s="56"/>
      <c r="AN16" s="56"/>
      <c r="AO16" s="166" t="s">
        <v>141</v>
      </c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27"/>
      <c r="CT16" s="27"/>
      <c r="DH16" s="137" t="s">
        <v>73</v>
      </c>
      <c r="DJ16" s="181" t="s">
        <v>140</v>
      </c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3"/>
    </row>
    <row r="17" spans="1:164" ht="15.2" customHeight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56"/>
      <c r="AM17" s="56"/>
      <c r="AN17" s="5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27"/>
      <c r="CT17" s="27"/>
      <c r="CU17" s="26"/>
      <c r="DH17" s="137"/>
      <c r="DJ17" s="181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3"/>
    </row>
    <row r="18" spans="1:164" ht="66" customHeight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56"/>
      <c r="AM18" s="56"/>
      <c r="AN18" s="5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27"/>
      <c r="CT18" s="27"/>
      <c r="CU18" s="26"/>
      <c r="DH18" s="28"/>
      <c r="DJ18" s="181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3"/>
    </row>
    <row r="19" spans="1:164" ht="15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T19" s="26"/>
      <c r="CU19" s="26"/>
      <c r="DH19" s="137"/>
      <c r="DJ19" s="175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7"/>
    </row>
    <row r="20" spans="1:164" ht="15.2" customHeight="1">
      <c r="A20" s="169" t="s">
        <v>74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57"/>
      <c r="AM20" s="57"/>
      <c r="AN20" s="57"/>
      <c r="AO20" s="170" t="s">
        <v>142</v>
      </c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29"/>
      <c r="CT20" s="29"/>
      <c r="DH20" s="30"/>
      <c r="DJ20" s="171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3"/>
    </row>
    <row r="21" spans="1:164" ht="15.2" customHeight="1">
      <c r="A21" s="169" t="s">
        <v>85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57"/>
      <c r="AM21" s="57"/>
      <c r="AN21" s="57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DH21" s="31" t="s">
        <v>75</v>
      </c>
      <c r="DJ21" s="171" t="s">
        <v>76</v>
      </c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3"/>
    </row>
    <row r="22" spans="1:164" ht="15.2" customHeight="1">
      <c r="A22" s="169" t="s">
        <v>86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57"/>
      <c r="AM22" s="57"/>
      <c r="AN22" s="57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31"/>
      <c r="DI22" s="43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</row>
    <row r="23" spans="1:164" ht="15.75">
      <c r="A23" s="49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50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S23" s="32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</row>
    <row r="24" spans="1:164" ht="21" customHeight="1">
      <c r="A24" s="166" t="s">
        <v>83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56"/>
      <c r="AM24" s="56"/>
      <c r="AN24" s="56"/>
      <c r="AO24" s="166" t="s">
        <v>77</v>
      </c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27"/>
      <c r="DR24" s="27"/>
      <c r="DS24" s="27"/>
      <c r="DT24" s="27"/>
    </row>
    <row r="25" spans="1:164" ht="21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56"/>
      <c r="AM25" s="56"/>
      <c r="AN25" s="5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27"/>
      <c r="DR25" s="27"/>
      <c r="DS25" s="27"/>
      <c r="DT25" s="27"/>
    </row>
    <row r="26" spans="1:164" ht="1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56"/>
      <c r="AM26" s="56"/>
      <c r="AN26" s="5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27"/>
      <c r="DR26" s="27"/>
      <c r="DS26" s="27"/>
      <c r="DT26" s="27"/>
    </row>
    <row r="27" spans="1:164" ht="15.75">
      <c r="A27" s="51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52"/>
      <c r="CP27" s="52"/>
      <c r="CQ27" s="52"/>
      <c r="CR27" s="52"/>
      <c r="CS27" s="52"/>
      <c r="CT27" s="52"/>
      <c r="CU27" s="52"/>
      <c r="CV27" s="52"/>
      <c r="CW27" s="46"/>
      <c r="CX27" s="46"/>
      <c r="CY27" s="46"/>
      <c r="CZ27" s="46"/>
      <c r="DA27" s="46"/>
      <c r="DB27" s="46"/>
      <c r="DC27" s="46"/>
      <c r="DD27" s="46"/>
      <c r="DE27" s="46"/>
      <c r="DF27" s="48"/>
      <c r="DG27" s="46"/>
      <c r="DH27" s="46"/>
      <c r="DI27" s="46"/>
      <c r="DJ27" s="46"/>
      <c r="DK27" s="46"/>
      <c r="DL27" s="46"/>
      <c r="DM27" s="46"/>
      <c r="DN27" s="46"/>
      <c r="DO27" s="46"/>
      <c r="DP27" s="46"/>
    </row>
    <row r="28" spans="1:164" ht="15.2" hidden="1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45"/>
      <c r="AP28" s="45"/>
      <c r="AQ28" s="45"/>
      <c r="AR28" s="45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27"/>
      <c r="DR28" s="27"/>
      <c r="DS28" s="27"/>
      <c r="DT28" s="27"/>
    </row>
    <row r="29" spans="1:164" ht="15.2" hidden="1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45"/>
      <c r="AP29" s="45"/>
      <c r="AQ29" s="45"/>
      <c r="AR29" s="45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27"/>
      <c r="DR29" s="27"/>
      <c r="DS29" s="27"/>
      <c r="DT29" s="27"/>
    </row>
    <row r="30" spans="1:164" ht="15.2" hidden="1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45"/>
      <c r="AP30" s="45"/>
      <c r="AQ30" s="45"/>
      <c r="AR30" s="45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27"/>
      <c r="DR30" s="27"/>
      <c r="DS30" s="27"/>
      <c r="DT30" s="27"/>
    </row>
    <row r="31" spans="1:164" ht="15" hidden="1">
      <c r="DF31" s="33"/>
    </row>
    <row r="32" spans="1:164" ht="21" customHeight="1">
      <c r="A32" s="168" t="s">
        <v>84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</row>
    <row r="33" spans="1:165" ht="13.9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</row>
    <row r="34" spans="1:165" ht="168" customHeight="1">
      <c r="A34" s="166" t="s">
        <v>143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</row>
    <row r="35" spans="1:165" ht="276" customHeight="1">
      <c r="A35" s="166" t="s">
        <v>148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</row>
    <row r="36" spans="1:165" ht="384" customHeight="1">
      <c r="A36" s="167" t="s">
        <v>149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33"/>
      <c r="FA36" s="59"/>
      <c r="FB36" s="59"/>
      <c r="FC36" s="59"/>
      <c r="FD36" s="59"/>
      <c r="FE36" s="59"/>
      <c r="FF36" s="59"/>
      <c r="FG36" s="59"/>
      <c r="FH36" s="59"/>
      <c r="FI36" s="59"/>
    </row>
    <row r="37" spans="1:165" ht="124.5" customHeight="1">
      <c r="A37" s="166" t="s">
        <v>200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Z37" s="102" t="s">
        <v>161</v>
      </c>
    </row>
    <row r="38" spans="1:165" ht="70.5" customHeight="1">
      <c r="A38" s="167" t="s">
        <v>201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</row>
    <row r="39" spans="1:165" ht="24.75" customHeight="1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</row>
    <row r="40" spans="1:165" ht="41.2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33"/>
      <c r="FA40" s="59"/>
      <c r="FB40" s="59"/>
      <c r="FC40" s="59"/>
      <c r="FD40" s="59"/>
      <c r="FE40" s="59"/>
      <c r="FF40" s="59"/>
      <c r="FG40" s="59"/>
      <c r="FH40" s="59"/>
      <c r="FI40" s="59"/>
    </row>
    <row r="41" spans="1:165" ht="15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/>
      <c r="DU41" s="166"/>
    </row>
    <row r="42" spans="1:165" ht="1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</row>
  </sheetData>
  <mergeCells count="57">
    <mergeCell ref="G2:AM2"/>
    <mergeCell ref="CD2:DS2"/>
    <mergeCell ref="G3:AM3"/>
    <mergeCell ref="CD3:DS3"/>
    <mergeCell ref="G4:AM4"/>
    <mergeCell ref="CD4:DS4"/>
    <mergeCell ref="DJ12:DY12"/>
    <mergeCell ref="G5:AM5"/>
    <mergeCell ref="CD5:DS5"/>
    <mergeCell ref="G6:U6"/>
    <mergeCell ref="X6:AM6"/>
    <mergeCell ref="CD6:CU6"/>
    <mergeCell ref="N7:AC7"/>
    <mergeCell ref="AD7:AF7"/>
    <mergeCell ref="AG7:AI7"/>
    <mergeCell ref="AJ7:AK7"/>
    <mergeCell ref="CI7:CL7"/>
    <mergeCell ref="CP7:DH7"/>
    <mergeCell ref="DI7:DK7"/>
    <mergeCell ref="DL7:DO7"/>
    <mergeCell ref="A9:DS9"/>
    <mergeCell ref="DJ11:DY11"/>
    <mergeCell ref="DJ19:DY19"/>
    <mergeCell ref="AD13:AG13"/>
    <mergeCell ref="AS13:BJ13"/>
    <mergeCell ref="BL13:BR13"/>
    <mergeCell ref="DJ13:DY13"/>
    <mergeCell ref="DJ14:DY14"/>
    <mergeCell ref="DJ15:DY15"/>
    <mergeCell ref="A16:AK18"/>
    <mergeCell ref="AO16:CR18"/>
    <mergeCell ref="DJ16:DY16"/>
    <mergeCell ref="DJ17:DY17"/>
    <mergeCell ref="DJ18:DY18"/>
    <mergeCell ref="A28:AN30"/>
    <mergeCell ref="AS28:DP30"/>
    <mergeCell ref="A20:AK20"/>
    <mergeCell ref="AO20:CR20"/>
    <mergeCell ref="DJ20:DY20"/>
    <mergeCell ref="A21:AK21"/>
    <mergeCell ref="AO21:CR21"/>
    <mergeCell ref="DJ21:DY21"/>
    <mergeCell ref="A22:AK22"/>
    <mergeCell ref="AO22:CR22"/>
    <mergeCell ref="DJ22:DY22"/>
    <mergeCell ref="A24:AK26"/>
    <mergeCell ref="AO24:CR26"/>
    <mergeCell ref="A39:DU39"/>
    <mergeCell ref="A40:DU40"/>
    <mergeCell ref="A41:DU41"/>
    <mergeCell ref="A42:DU42"/>
    <mergeCell ref="A32:DU32"/>
    <mergeCell ref="A34:DU34"/>
    <mergeCell ref="A35:DU35"/>
    <mergeCell ref="A36:DU36"/>
    <mergeCell ref="A37:DU37"/>
    <mergeCell ref="A38:DU38"/>
  </mergeCells>
  <pageMargins left="0.59" right="0.11" top="0.23" bottom="0.2" header="0.19" footer="0.15"/>
  <pageSetup paperSize="9" scale="79" orientation="portrait" horizontalDpi="0" verticalDpi="0" r:id="rId1"/>
  <rowBreaks count="1" manualBreakCount="1">
    <brk id="35" max="128" man="1"/>
  </rowBreaks>
  <colBreaks count="1" manualBreakCount="1">
    <brk id="1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26"/>
  <sheetViews>
    <sheetView view="pageBreakPreview" zoomScale="77" zoomScaleNormal="100" zoomScaleSheetLayoutView="77" workbookViewId="0">
      <selection activeCell="D27" sqref="D27"/>
    </sheetView>
  </sheetViews>
  <sheetFormatPr defaultRowHeight="24" customHeight="1"/>
  <cols>
    <col min="2" max="2" width="67.85546875" customWidth="1"/>
    <col min="3" max="3" width="27.140625" customWidth="1"/>
    <col min="4" max="4" width="42.140625" customWidth="1"/>
  </cols>
  <sheetData>
    <row r="1" spans="1:4" ht="24" customHeight="1">
      <c r="A1" s="197" t="s">
        <v>87</v>
      </c>
      <c r="B1" s="197"/>
      <c r="C1" s="197"/>
      <c r="D1" s="10" t="s">
        <v>161</v>
      </c>
    </row>
    <row r="2" spans="1:4" ht="24" customHeight="1">
      <c r="A2" s="198" t="s">
        <v>221</v>
      </c>
      <c r="B2" s="198"/>
      <c r="C2" s="198"/>
    </row>
    <row r="3" spans="1:4" ht="24" customHeight="1">
      <c r="A3" s="60"/>
    </row>
    <row r="4" spans="1:4" ht="24" customHeight="1">
      <c r="A4" s="62" t="s">
        <v>88</v>
      </c>
      <c r="B4" s="62" t="s">
        <v>0</v>
      </c>
      <c r="C4" s="62" t="s">
        <v>89</v>
      </c>
    </row>
    <row r="5" spans="1:4" ht="19.5" customHeight="1">
      <c r="A5" s="62">
        <v>1</v>
      </c>
      <c r="B5" s="62">
        <v>2</v>
      </c>
      <c r="C5" s="62">
        <v>3</v>
      </c>
    </row>
    <row r="6" spans="1:4" ht="24" customHeight="1">
      <c r="A6" s="63"/>
      <c r="B6" s="83" t="s">
        <v>90</v>
      </c>
      <c r="C6" s="139">
        <f>24227001.43/1000</f>
        <v>24227.00143</v>
      </c>
    </row>
    <row r="7" spans="1:4" ht="24" customHeight="1">
      <c r="A7" s="63"/>
      <c r="B7" s="65" t="s">
        <v>91</v>
      </c>
      <c r="C7" s="82">
        <f>20492025.28/1000</f>
        <v>20492.025280000002</v>
      </c>
    </row>
    <row r="8" spans="1:4" ht="24" customHeight="1">
      <c r="A8" s="63"/>
      <c r="B8" s="66" t="s">
        <v>4</v>
      </c>
      <c r="C8" s="82"/>
    </row>
    <row r="9" spans="1:4" ht="24" customHeight="1">
      <c r="A9" s="63"/>
      <c r="B9" s="66" t="s">
        <v>92</v>
      </c>
      <c r="C9" s="82">
        <f>13973563.196/1000</f>
        <v>13973.563196000001</v>
      </c>
    </row>
    <row r="10" spans="1:4" ht="24" customHeight="1">
      <c r="A10" s="63"/>
      <c r="B10" s="67" t="s">
        <v>93</v>
      </c>
      <c r="C10" s="82">
        <f>3366924.47/1000</f>
        <v>3366.9244700000004</v>
      </c>
    </row>
    <row r="11" spans="1:4" ht="24" customHeight="1">
      <c r="A11" s="63"/>
      <c r="B11" s="66" t="s">
        <v>4</v>
      </c>
      <c r="C11" s="82"/>
    </row>
    <row r="12" spans="1:4" ht="24" customHeight="1">
      <c r="A12" s="63"/>
      <c r="B12" s="66" t="s">
        <v>92</v>
      </c>
      <c r="C12" s="140">
        <f>345527.67/1000</f>
        <v>345.52767</v>
      </c>
    </row>
    <row r="13" spans="1:4" ht="24" customHeight="1">
      <c r="A13" s="63"/>
      <c r="B13" s="83" t="s">
        <v>94</v>
      </c>
      <c r="C13" s="139">
        <f>C14+C18+C19+C20</f>
        <v>478.17179999999996</v>
      </c>
    </row>
    <row r="14" spans="1:4" ht="24" customHeight="1">
      <c r="A14" s="63"/>
      <c r="B14" s="65" t="s">
        <v>95</v>
      </c>
      <c r="C14" s="82">
        <f>C16+C17</f>
        <v>109.34247000000001</v>
      </c>
    </row>
    <row r="15" spans="1:4" ht="24" customHeight="1">
      <c r="A15" s="63"/>
      <c r="B15" s="68" t="s">
        <v>4</v>
      </c>
      <c r="C15" s="82"/>
    </row>
    <row r="16" spans="1:4" ht="24" customHeight="1">
      <c r="A16" s="63"/>
      <c r="B16" s="68" t="s">
        <v>96</v>
      </c>
      <c r="C16" s="82">
        <f>109342.47/1000</f>
        <v>109.34247000000001</v>
      </c>
    </row>
    <row r="17" spans="1:3" ht="33" customHeight="1">
      <c r="A17" s="63"/>
      <c r="B17" s="68" t="s">
        <v>97</v>
      </c>
      <c r="C17" s="82">
        <v>0</v>
      </c>
    </row>
    <row r="18" spans="1:3" ht="24" customHeight="1">
      <c r="A18" s="63"/>
      <c r="B18" s="65" t="s">
        <v>98</v>
      </c>
      <c r="C18" s="82">
        <v>0</v>
      </c>
    </row>
    <row r="19" spans="1:3" ht="24" customHeight="1">
      <c r="A19" s="63"/>
      <c r="B19" s="65" t="s">
        <v>99</v>
      </c>
      <c r="C19" s="82">
        <f>(342217.59-7727.25)/1000</f>
        <v>334.49034</v>
      </c>
    </row>
    <row r="20" spans="1:3" ht="24" customHeight="1">
      <c r="A20" s="63"/>
      <c r="B20" s="65" t="s">
        <v>100</v>
      </c>
      <c r="C20" s="82">
        <f>(34338.99)/1000</f>
        <v>34.338989999999995</v>
      </c>
    </row>
    <row r="21" spans="1:3" ht="24" customHeight="1">
      <c r="A21" s="63"/>
      <c r="B21" s="83" t="s">
        <v>101</v>
      </c>
      <c r="C21" s="139">
        <f>C23+C24</f>
        <v>75.83865999999999</v>
      </c>
    </row>
    <row r="22" spans="1:3" ht="24" customHeight="1">
      <c r="A22" s="63"/>
      <c r="B22" s="65" t="s">
        <v>16</v>
      </c>
      <c r="C22" s="82"/>
    </row>
    <row r="23" spans="1:3" ht="24" customHeight="1">
      <c r="A23" s="63"/>
      <c r="B23" s="65" t="s">
        <v>102</v>
      </c>
      <c r="C23" s="82">
        <v>0</v>
      </c>
    </row>
    <row r="24" spans="1:3" ht="24" customHeight="1">
      <c r="A24" s="63"/>
      <c r="B24" s="65" t="s">
        <v>103</v>
      </c>
      <c r="C24" s="82">
        <f>(39665.15+47013.97+1274.64-12115.1)/1000</f>
        <v>75.83865999999999</v>
      </c>
    </row>
    <row r="25" spans="1:3" ht="24" customHeight="1">
      <c r="A25" s="63"/>
      <c r="B25" s="66" t="s">
        <v>4</v>
      </c>
      <c r="C25" s="82"/>
    </row>
    <row r="26" spans="1:3" ht="24" customHeight="1">
      <c r="A26" s="63"/>
      <c r="B26" s="66" t="s">
        <v>104</v>
      </c>
      <c r="C26" s="82">
        <v>0</v>
      </c>
    </row>
  </sheetData>
  <mergeCells count="2">
    <mergeCell ref="A1:C1"/>
    <mergeCell ref="A2:C2"/>
  </mergeCells>
  <pageMargins left="0.7" right="0.11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K121"/>
  <sheetViews>
    <sheetView view="pageBreakPreview" zoomScaleNormal="100" zoomScaleSheetLayoutView="100" workbookViewId="0">
      <pane ySplit="7" topLeftCell="A8" activePane="bottomLeft" state="frozen"/>
      <selection pane="bottomLeft" activeCell="A20" sqref="A20:XFD20"/>
    </sheetView>
  </sheetViews>
  <sheetFormatPr defaultRowHeight="10.15" customHeight="1"/>
  <cols>
    <col min="1" max="15" width="0.28515625" style="10" customWidth="1"/>
    <col min="16" max="16" width="0.7109375" style="10" customWidth="1"/>
    <col min="17" max="22" width="0.28515625" style="10" customWidth="1"/>
    <col min="23" max="23" width="0.28515625" style="10" hidden="1" customWidth="1"/>
    <col min="24" max="49" width="0.28515625" style="10" customWidth="1"/>
    <col min="50" max="50" width="10.5703125" style="10" customWidth="1"/>
    <col min="51" max="51" width="6.7109375" style="10" customWidth="1"/>
    <col min="52" max="52" width="8.7109375" style="10" customWidth="1"/>
    <col min="53" max="53" width="13.5703125" style="10" customWidth="1"/>
    <col min="54" max="54" width="13.42578125" style="10" customWidth="1"/>
    <col min="55" max="55" width="15.140625" style="10" customWidth="1"/>
    <col min="56" max="56" width="12.140625" style="10" customWidth="1"/>
    <col min="57" max="57" width="11.140625" style="10" customWidth="1"/>
    <col min="58" max="58" width="9.7109375" style="10" customWidth="1"/>
    <col min="59" max="59" width="15.140625" style="91" customWidth="1"/>
    <col min="60" max="60" width="9.140625" style="10"/>
    <col min="61" max="61" width="14.7109375" style="10" customWidth="1"/>
    <col min="62" max="62" width="12.5703125" style="10" bestFit="1" customWidth="1"/>
    <col min="63" max="63" width="15.85546875" style="10" bestFit="1" customWidth="1"/>
    <col min="64" max="16384" width="9.140625" style="10"/>
  </cols>
  <sheetData>
    <row r="1" spans="1:63" ht="12.75"/>
    <row r="2" spans="1:63" ht="21" customHeight="1">
      <c r="A2" s="213" t="s">
        <v>212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</row>
    <row r="3" spans="1:63" ht="12.7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"/>
      <c r="BD3" s="1"/>
      <c r="BE3" s="1"/>
      <c r="BF3" s="1"/>
    </row>
    <row r="4" spans="1:63" ht="12.75" customHeight="1">
      <c r="A4" s="220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2"/>
      <c r="AY4" s="229" t="s">
        <v>1</v>
      </c>
      <c r="AZ4" s="232" t="s">
        <v>2</v>
      </c>
      <c r="BA4" s="214" t="s">
        <v>3</v>
      </c>
      <c r="BB4" s="215"/>
      <c r="BC4" s="215"/>
      <c r="BD4" s="215"/>
      <c r="BE4" s="215"/>
      <c r="BF4" s="215"/>
    </row>
    <row r="5" spans="1:63" ht="12.75" customHeigh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5"/>
      <c r="AY5" s="230"/>
      <c r="AZ5" s="218"/>
      <c r="BA5" s="218" t="s">
        <v>30</v>
      </c>
      <c r="BB5" s="231" t="s">
        <v>4</v>
      </c>
      <c r="BC5" s="231"/>
      <c r="BD5" s="231"/>
      <c r="BE5" s="231"/>
      <c r="BF5" s="231"/>
    </row>
    <row r="6" spans="1:63" ht="61.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5"/>
      <c r="AY6" s="230"/>
      <c r="AZ6" s="218"/>
      <c r="BA6" s="218"/>
      <c r="BB6" s="217" t="s">
        <v>5</v>
      </c>
      <c r="BC6" s="217" t="s">
        <v>6</v>
      </c>
      <c r="BD6" s="217" t="s">
        <v>7</v>
      </c>
      <c r="BE6" s="217" t="s">
        <v>8</v>
      </c>
      <c r="BF6" s="217"/>
    </row>
    <row r="7" spans="1:63" ht="30" customHeight="1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8"/>
      <c r="AY7" s="231"/>
      <c r="AZ7" s="219"/>
      <c r="BA7" s="219"/>
      <c r="BB7" s="217"/>
      <c r="BC7" s="217"/>
      <c r="BD7" s="217"/>
      <c r="BE7" s="163" t="s">
        <v>9</v>
      </c>
      <c r="BF7" s="163" t="s">
        <v>10</v>
      </c>
      <c r="BG7" s="134">
        <f>BA9+BA109-BA30</f>
        <v>0</v>
      </c>
      <c r="BK7" s="10" t="s">
        <v>147</v>
      </c>
    </row>
    <row r="8" spans="1:63" ht="11.1" customHeight="1">
      <c r="A8" s="214">
        <v>1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6"/>
      <c r="AY8" s="2">
        <v>2</v>
      </c>
      <c r="AZ8" s="80">
        <v>3</v>
      </c>
      <c r="BA8" s="80">
        <v>4</v>
      </c>
      <c r="BB8" s="164">
        <v>5</v>
      </c>
      <c r="BC8" s="164">
        <v>6</v>
      </c>
      <c r="BD8" s="164">
        <v>7</v>
      </c>
      <c r="BE8" s="163">
        <v>8</v>
      </c>
      <c r="BF8" s="163">
        <v>9</v>
      </c>
    </row>
    <row r="9" spans="1:63" ht="23.25" customHeight="1">
      <c r="A9" s="3"/>
      <c r="B9" s="208" t="s">
        <v>31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9"/>
      <c r="AY9" s="12">
        <v>100</v>
      </c>
      <c r="AZ9" s="81" t="s">
        <v>32</v>
      </c>
      <c r="BA9" s="117">
        <f>BA10+BA12+BA20+BA21+BA22+BA25+BA28</f>
        <v>15378764.73</v>
      </c>
      <c r="BB9" s="117">
        <f>BB12</f>
        <v>14507691</v>
      </c>
      <c r="BC9" s="117">
        <f>BC22</f>
        <v>52161</v>
      </c>
      <c r="BD9" s="117">
        <f>BD22</f>
        <v>0</v>
      </c>
      <c r="BE9" s="117">
        <f>BE10+BE12+BE20+BE21+BE25+BE28</f>
        <v>818912.73</v>
      </c>
      <c r="BF9" s="117">
        <f>BF12+BF25</f>
        <v>0</v>
      </c>
      <c r="BG9" s="116"/>
    </row>
    <row r="10" spans="1:63" ht="21.75" customHeight="1">
      <c r="A10" s="5"/>
      <c r="B10" s="199" t="s">
        <v>58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200"/>
      <c r="AY10" s="8">
        <v>110</v>
      </c>
      <c r="AZ10" s="81" t="s">
        <v>13</v>
      </c>
      <c r="BA10" s="95">
        <f>BE10</f>
        <v>136912.73000000001</v>
      </c>
      <c r="BB10" s="90" t="s">
        <v>32</v>
      </c>
      <c r="BC10" s="90" t="s">
        <v>32</v>
      </c>
      <c r="BD10" s="90" t="s">
        <v>32</v>
      </c>
      <c r="BE10" s="90">
        <v>136912.73000000001</v>
      </c>
      <c r="BF10" s="90" t="s">
        <v>32</v>
      </c>
      <c r="BG10" s="91" t="s">
        <v>173</v>
      </c>
    </row>
    <row r="11" spans="1:63" ht="13.5" customHeight="1">
      <c r="A11" s="5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200"/>
      <c r="AY11" s="8"/>
      <c r="AZ11" s="81"/>
      <c r="BA11" s="95"/>
      <c r="BB11" s="90"/>
      <c r="BC11" s="90"/>
      <c r="BD11" s="90"/>
      <c r="BE11" s="90"/>
      <c r="BF11" s="90"/>
    </row>
    <row r="12" spans="1:63" ht="12.75">
      <c r="A12" s="5"/>
      <c r="B12" s="199" t="s">
        <v>37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200"/>
      <c r="AY12" s="8">
        <v>120</v>
      </c>
      <c r="AZ12" s="81" t="s">
        <v>15</v>
      </c>
      <c r="BA12" s="95">
        <f>BB12+BE12+BF12</f>
        <v>15129691</v>
      </c>
      <c r="BB12" s="90">
        <f>SUM(BB13:BB19)</f>
        <v>14507691</v>
      </c>
      <c r="BC12" s="90" t="s">
        <v>32</v>
      </c>
      <c r="BD12" s="90" t="s">
        <v>32</v>
      </c>
      <c r="BE12" s="90">
        <f>SUM(BE13:BE19)</f>
        <v>622000</v>
      </c>
      <c r="BF12" s="90">
        <v>0</v>
      </c>
      <c r="BG12" s="91" t="s">
        <v>42</v>
      </c>
    </row>
    <row r="13" spans="1:63" s="103" customFormat="1" ht="45.75" hidden="1" customHeight="1">
      <c r="A13" s="212" t="s">
        <v>164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1"/>
      <c r="AY13" s="118"/>
      <c r="AZ13" s="119" t="s">
        <v>167</v>
      </c>
      <c r="BA13" s="104"/>
      <c r="BB13" s="104">
        <v>13316691</v>
      </c>
      <c r="BC13" s="104"/>
      <c r="BD13" s="104"/>
      <c r="BE13" s="104"/>
      <c r="BF13" s="104"/>
      <c r="BG13" s="233" t="s">
        <v>163</v>
      </c>
    </row>
    <row r="14" spans="1:63" s="103" customFormat="1" ht="33.75" hidden="1" customHeight="1">
      <c r="A14" s="212" t="s">
        <v>165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1"/>
      <c r="AY14" s="118"/>
      <c r="AZ14" s="119" t="s">
        <v>167</v>
      </c>
      <c r="BA14" s="104"/>
      <c r="BB14" s="104">
        <f>37380-37380</f>
        <v>0</v>
      </c>
      <c r="BC14" s="104"/>
      <c r="BD14" s="104"/>
      <c r="BE14" s="104"/>
      <c r="BF14" s="104"/>
      <c r="BG14" s="233"/>
    </row>
    <row r="15" spans="1:63" s="103" customFormat="1" ht="33.75" hidden="1" customHeight="1">
      <c r="A15" s="212" t="s">
        <v>166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1"/>
      <c r="AY15" s="118"/>
      <c r="AZ15" s="119" t="s">
        <v>168</v>
      </c>
      <c r="BA15" s="104"/>
      <c r="BB15" s="104">
        <v>1191000</v>
      </c>
      <c r="BC15" s="104"/>
      <c r="BD15" s="104"/>
      <c r="BE15" s="104"/>
      <c r="BF15" s="104"/>
      <c r="BG15" s="233"/>
    </row>
    <row r="16" spans="1:63" s="103" customFormat="1" ht="16.5" hidden="1" customHeight="1">
      <c r="A16" s="234" t="s">
        <v>208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6"/>
      <c r="AY16" s="118"/>
      <c r="AZ16" s="119" t="s">
        <v>167</v>
      </c>
      <c r="BA16" s="104"/>
      <c r="BB16" s="104"/>
      <c r="BC16" s="104"/>
      <c r="BD16" s="104"/>
      <c r="BE16" s="104"/>
      <c r="BF16" s="104"/>
      <c r="BG16" s="233"/>
    </row>
    <row r="17" spans="1:59" s="103" customFormat="1" ht="43.5" hidden="1" customHeight="1">
      <c r="A17" s="234" t="s">
        <v>207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6"/>
      <c r="AY17" s="118"/>
      <c r="AZ17" s="119" t="s">
        <v>167</v>
      </c>
      <c r="BA17" s="104"/>
      <c r="BB17" s="104"/>
      <c r="BC17" s="104"/>
      <c r="BD17" s="104"/>
      <c r="BE17" s="104"/>
      <c r="BF17" s="104"/>
      <c r="BG17" s="233"/>
    </row>
    <row r="18" spans="1:59" s="103" customFormat="1" ht="24" hidden="1" customHeight="1">
      <c r="A18" s="212" t="s">
        <v>170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1"/>
      <c r="AY18" s="118"/>
      <c r="AZ18" s="119" t="s">
        <v>169</v>
      </c>
      <c r="BA18" s="104"/>
      <c r="BB18" s="104"/>
      <c r="BC18" s="104"/>
      <c r="BD18" s="104"/>
      <c r="BE18" s="104">
        <v>500000</v>
      </c>
      <c r="BF18" s="104"/>
      <c r="BG18" s="233"/>
    </row>
    <row r="19" spans="1:59" s="103" customFormat="1" ht="56.25" hidden="1" customHeight="1">
      <c r="A19" s="212" t="s">
        <v>172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1"/>
      <c r="AY19" s="118"/>
      <c r="AZ19" s="119" t="s">
        <v>171</v>
      </c>
      <c r="BA19" s="104"/>
      <c r="BB19" s="104"/>
      <c r="BC19" s="104"/>
      <c r="BD19" s="104"/>
      <c r="BE19" s="104">
        <v>122000</v>
      </c>
      <c r="BF19" s="104"/>
      <c r="BG19" s="233"/>
    </row>
    <row r="20" spans="1:59" ht="26.25" customHeight="1">
      <c r="A20" s="5"/>
      <c r="B20" s="199" t="s">
        <v>36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200"/>
      <c r="AY20" s="8">
        <v>130</v>
      </c>
      <c r="AZ20" s="81" t="s">
        <v>14</v>
      </c>
      <c r="BA20" s="95">
        <f>BE20</f>
        <v>0</v>
      </c>
      <c r="BB20" s="90" t="s">
        <v>32</v>
      </c>
      <c r="BC20" s="90" t="s">
        <v>32</v>
      </c>
      <c r="BD20" s="90" t="s">
        <v>32</v>
      </c>
      <c r="BE20" s="120">
        <v>0</v>
      </c>
      <c r="BF20" s="90" t="s">
        <v>32</v>
      </c>
      <c r="BG20" s="91" t="s">
        <v>34</v>
      </c>
    </row>
    <row r="21" spans="1:59" ht="14.25" customHeight="1">
      <c r="A21" s="5"/>
      <c r="B21" s="199" t="s">
        <v>35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200"/>
      <c r="AY21" s="8">
        <v>140</v>
      </c>
      <c r="AZ21" s="81" t="s">
        <v>43</v>
      </c>
      <c r="BA21" s="95">
        <f>BE21</f>
        <v>0</v>
      </c>
      <c r="BB21" s="90" t="s">
        <v>32</v>
      </c>
      <c r="BC21" s="90" t="s">
        <v>32</v>
      </c>
      <c r="BD21" s="90" t="s">
        <v>32</v>
      </c>
      <c r="BE21" s="90">
        <v>0</v>
      </c>
      <c r="BF21" s="90" t="s">
        <v>32</v>
      </c>
    </row>
    <row r="22" spans="1:59" ht="27" customHeight="1">
      <c r="A22" s="5"/>
      <c r="B22" s="199" t="s">
        <v>38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200"/>
      <c r="AY22" s="8">
        <v>150</v>
      </c>
      <c r="AZ22" s="81" t="s">
        <v>12</v>
      </c>
      <c r="BA22" s="95">
        <f>BC22+BD22</f>
        <v>52161</v>
      </c>
      <c r="BB22" s="90" t="s">
        <v>32</v>
      </c>
      <c r="BC22" s="90">
        <f>SUM(BC23:BC24)</f>
        <v>52161</v>
      </c>
      <c r="BD22" s="90">
        <v>0</v>
      </c>
      <c r="BE22" s="90" t="s">
        <v>32</v>
      </c>
      <c r="BF22" s="90" t="s">
        <v>32</v>
      </c>
      <c r="BG22" s="91" t="s">
        <v>44</v>
      </c>
    </row>
    <row r="23" spans="1:59" s="103" customFormat="1" ht="12.75" hidden="1" customHeight="1">
      <c r="A23" s="212" t="s">
        <v>194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1"/>
      <c r="AY23" s="118"/>
      <c r="AZ23" s="119" t="s">
        <v>195</v>
      </c>
      <c r="BA23" s="104"/>
      <c r="BB23" s="104"/>
      <c r="BC23" s="104">
        <f>11331+3450</f>
        <v>14781</v>
      </c>
      <c r="BD23" s="104"/>
      <c r="BE23" s="104"/>
      <c r="BF23" s="104"/>
      <c r="BG23" s="91"/>
    </row>
    <row r="24" spans="1:59" s="103" customFormat="1" ht="12.75" hidden="1" customHeight="1">
      <c r="A24" s="212" t="s">
        <v>238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1"/>
      <c r="AY24" s="118"/>
      <c r="AZ24" s="119" t="s">
        <v>237</v>
      </c>
      <c r="BA24" s="104"/>
      <c r="BB24" s="104"/>
      <c r="BC24" s="104">
        <v>37380</v>
      </c>
      <c r="BD24" s="104"/>
      <c r="BE24" s="104"/>
      <c r="BF24" s="104"/>
      <c r="BG24" s="91"/>
    </row>
    <row r="25" spans="1:59" ht="12.75" hidden="1" customHeight="1">
      <c r="A25" s="5"/>
      <c r="B25" s="199" t="s">
        <v>39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200"/>
      <c r="AY25" s="8">
        <v>160</v>
      </c>
      <c r="AZ25" s="81" t="s">
        <v>12</v>
      </c>
      <c r="BA25" s="95">
        <f>BE25</f>
        <v>60000</v>
      </c>
      <c r="BB25" s="90" t="s">
        <v>32</v>
      </c>
      <c r="BC25" s="90" t="s">
        <v>32</v>
      </c>
      <c r="BD25" s="90" t="s">
        <v>32</v>
      </c>
      <c r="BE25" s="90">
        <f>SUM(BE26:BE27)</f>
        <v>60000</v>
      </c>
      <c r="BF25" s="90">
        <v>0</v>
      </c>
      <c r="BG25" s="91" t="s">
        <v>40</v>
      </c>
    </row>
    <row r="26" spans="1:59" s="103" customFormat="1" ht="13.5" hidden="1" customHeight="1">
      <c r="A26" s="212" t="s">
        <v>203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1"/>
      <c r="AY26" s="118"/>
      <c r="AZ26" s="119" t="s">
        <v>174</v>
      </c>
      <c r="BA26" s="104"/>
      <c r="BB26" s="104"/>
      <c r="BC26" s="104"/>
      <c r="BD26" s="104"/>
      <c r="BE26" s="104">
        <v>60000</v>
      </c>
      <c r="BF26" s="104"/>
      <c r="BG26" s="91">
        <v>2006</v>
      </c>
    </row>
    <row r="27" spans="1:59" s="103" customFormat="1" ht="58.5" hidden="1" customHeight="1">
      <c r="A27" s="212" t="s">
        <v>202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1"/>
      <c r="AY27" s="118"/>
      <c r="AZ27" s="119" t="s">
        <v>175</v>
      </c>
      <c r="BA27" s="104"/>
      <c r="BB27" s="104"/>
      <c r="BC27" s="104"/>
      <c r="BD27" s="104"/>
      <c r="BE27" s="104">
        <v>0</v>
      </c>
      <c r="BF27" s="104"/>
      <c r="BG27" s="91">
        <v>1010</v>
      </c>
    </row>
    <row r="28" spans="1:59" ht="24.75" customHeight="1">
      <c r="A28" s="5"/>
      <c r="B28" s="199" t="s">
        <v>41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200"/>
      <c r="AY28" s="8">
        <v>180</v>
      </c>
      <c r="AZ28" s="81" t="s">
        <v>59</v>
      </c>
      <c r="BA28" s="95">
        <f>BE28</f>
        <v>0</v>
      </c>
      <c r="BB28" s="90" t="s">
        <v>32</v>
      </c>
      <c r="BC28" s="90" t="s">
        <v>32</v>
      </c>
      <c r="BD28" s="90" t="s">
        <v>32</v>
      </c>
      <c r="BE28" s="90">
        <v>0</v>
      </c>
      <c r="BF28" s="90">
        <v>0</v>
      </c>
    </row>
    <row r="29" spans="1:59" ht="18" customHeight="1">
      <c r="A29" s="11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200"/>
      <c r="AY29" s="8"/>
      <c r="AZ29" s="81"/>
      <c r="BA29" s="95"/>
      <c r="BB29" s="90"/>
      <c r="BC29" s="90"/>
      <c r="BD29" s="90"/>
      <c r="BE29" s="90"/>
      <c r="BF29" s="90"/>
    </row>
    <row r="30" spans="1:59" ht="12" customHeight="1">
      <c r="A30" s="3"/>
      <c r="B30" s="208" t="s">
        <v>45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9"/>
      <c r="AY30" s="12">
        <v>200</v>
      </c>
      <c r="AZ30" s="81" t="s">
        <v>32</v>
      </c>
      <c r="BA30" s="117">
        <f t="shared" ref="BA30:BF30" si="0">BA31+BA41+BA44+BA53+BA55+BA56</f>
        <v>16584623.23</v>
      </c>
      <c r="BB30" s="117">
        <f t="shared" si="0"/>
        <v>15616429.390000001</v>
      </c>
      <c r="BC30" s="117">
        <f t="shared" si="0"/>
        <v>76461</v>
      </c>
      <c r="BD30" s="117">
        <f t="shared" si="0"/>
        <v>0</v>
      </c>
      <c r="BE30" s="117">
        <f t="shared" si="0"/>
        <v>891732.84000000008</v>
      </c>
      <c r="BF30" s="117">
        <f t="shared" si="0"/>
        <v>0</v>
      </c>
      <c r="BG30" s="121"/>
    </row>
    <row r="31" spans="1:59" ht="25.5" customHeight="1">
      <c r="A31" s="5"/>
      <c r="B31" s="202" t="s">
        <v>46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3"/>
      <c r="AY31" s="14">
        <v>210</v>
      </c>
      <c r="AZ31" s="81"/>
      <c r="BA31" s="95">
        <f>BA32+BA37+BA40</f>
        <v>12227393.529999999</v>
      </c>
      <c r="BB31" s="94">
        <f t="shared" ref="BB31:BF31" si="1">BB32+BB37+BB40</f>
        <v>11862990.08</v>
      </c>
      <c r="BC31" s="94">
        <f t="shared" si="1"/>
        <v>14781</v>
      </c>
      <c r="BD31" s="94">
        <f t="shared" si="1"/>
        <v>0</v>
      </c>
      <c r="BE31" s="94">
        <f t="shared" si="1"/>
        <v>349622.45</v>
      </c>
      <c r="BF31" s="94">
        <f t="shared" si="1"/>
        <v>0</v>
      </c>
    </row>
    <row r="32" spans="1:59" ht="36" customHeight="1">
      <c r="A32" s="5"/>
      <c r="B32" s="202" t="s">
        <v>47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3"/>
      <c r="AY32" s="14">
        <v>211</v>
      </c>
      <c r="AZ32" s="81"/>
      <c r="BA32" s="95">
        <f>BA33+BA36</f>
        <v>12060090.08</v>
      </c>
      <c r="BB32" s="94">
        <f t="shared" ref="BB32:BF32" si="2">BB33+BB36</f>
        <v>11717490.08</v>
      </c>
      <c r="BC32" s="94">
        <f t="shared" si="2"/>
        <v>0</v>
      </c>
      <c r="BD32" s="94">
        <f t="shared" si="2"/>
        <v>0</v>
      </c>
      <c r="BE32" s="94">
        <f>BE33+BE36</f>
        <v>342600</v>
      </c>
      <c r="BF32" s="94">
        <f t="shared" si="2"/>
        <v>0</v>
      </c>
    </row>
    <row r="33" spans="1:59" ht="35.25" customHeight="1">
      <c r="A33" s="6"/>
      <c r="B33" s="7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200"/>
      <c r="AY33" s="8"/>
      <c r="AZ33" s="81" t="s">
        <v>19</v>
      </c>
      <c r="BA33" s="95">
        <f>BB33+BC33+BD33+BE33</f>
        <v>9397444.0800000001</v>
      </c>
      <c r="BB33" s="90">
        <f>BB34+BB35</f>
        <v>9127844.0800000001</v>
      </c>
      <c r="BC33" s="90">
        <v>0</v>
      </c>
      <c r="BD33" s="90">
        <v>0</v>
      </c>
      <c r="BE33" s="90">
        <f>160000+109600</f>
        <v>269600</v>
      </c>
      <c r="BF33" s="90">
        <v>0</v>
      </c>
      <c r="BG33" s="91" t="s">
        <v>178</v>
      </c>
    </row>
    <row r="34" spans="1:59" s="103" customFormat="1" ht="12.75" hidden="1" customHeight="1">
      <c r="A34" s="156"/>
      <c r="B34" s="157"/>
      <c r="C34" s="210" t="s">
        <v>231</v>
      </c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1"/>
      <c r="AY34" s="118"/>
      <c r="AZ34" s="119"/>
      <c r="BA34" s="104"/>
      <c r="BB34" s="104">
        <f>7858462+920000</f>
        <v>8778462</v>
      </c>
      <c r="BC34" s="104"/>
      <c r="BD34" s="104"/>
      <c r="BE34" s="104"/>
      <c r="BF34" s="104"/>
      <c r="BG34" s="124"/>
    </row>
    <row r="35" spans="1:59" s="103" customFormat="1" ht="12.75" hidden="1" customHeight="1">
      <c r="A35" s="156"/>
      <c r="B35" s="157"/>
      <c r="C35" s="210" t="s">
        <v>232</v>
      </c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1"/>
      <c r="AY35" s="118"/>
      <c r="AZ35" s="119"/>
      <c r="BA35" s="104"/>
      <c r="BB35" s="104">
        <v>349382.08</v>
      </c>
      <c r="BC35" s="104"/>
      <c r="BD35" s="104"/>
      <c r="BE35" s="104"/>
      <c r="BF35" s="104"/>
      <c r="BG35" s="124"/>
    </row>
    <row r="36" spans="1:59" ht="12.75">
      <c r="A36" s="161"/>
      <c r="B36" s="165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200"/>
      <c r="AY36" s="8"/>
      <c r="AZ36" s="81" t="s">
        <v>20</v>
      </c>
      <c r="BA36" s="95">
        <f>BB36+BC36+BD36+BE36</f>
        <v>2662646</v>
      </c>
      <c r="BB36" s="90">
        <f>2318646+271000</f>
        <v>2589646</v>
      </c>
      <c r="BC36" s="90">
        <v>0</v>
      </c>
      <c r="BD36" s="90">
        <v>0</v>
      </c>
      <c r="BE36" s="90">
        <f>49000+24000</f>
        <v>73000</v>
      </c>
      <c r="BF36" s="90">
        <v>0</v>
      </c>
      <c r="BG36" s="91" t="s">
        <v>177</v>
      </c>
    </row>
    <row r="37" spans="1:59" ht="12.75" customHeight="1">
      <c r="A37" s="161"/>
      <c r="B37" s="165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200"/>
      <c r="AY37" s="8"/>
      <c r="AZ37" s="81" t="s">
        <v>18</v>
      </c>
      <c r="BA37" s="95">
        <f>BB37+BC37+BD37+BE37</f>
        <v>39905.449999999997</v>
      </c>
      <c r="BB37" s="90">
        <v>18102</v>
      </c>
      <c r="BC37" s="90">
        <f>11331+3450</f>
        <v>14781</v>
      </c>
      <c r="BD37" s="90">
        <v>0</v>
      </c>
      <c r="BE37" s="90">
        <f>SUM(BE38:BE39)</f>
        <v>7022.4500000000007</v>
      </c>
      <c r="BF37" s="90">
        <v>0</v>
      </c>
      <c r="BG37" s="91" t="s">
        <v>176</v>
      </c>
    </row>
    <row r="38" spans="1:59" s="103" customFormat="1" ht="33" hidden="1" customHeight="1">
      <c r="A38" s="153"/>
      <c r="B38" s="154"/>
      <c r="C38" s="210" t="s">
        <v>224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1"/>
      <c r="AY38" s="118"/>
      <c r="AZ38" s="119"/>
      <c r="BA38" s="104"/>
      <c r="BB38" s="104"/>
      <c r="BC38" s="104"/>
      <c r="BD38" s="104"/>
      <c r="BE38" s="104">
        <v>7000</v>
      </c>
      <c r="BF38" s="104"/>
      <c r="BG38" s="124"/>
    </row>
    <row r="39" spans="1:59" s="103" customFormat="1" ht="12.75" hidden="1" customHeight="1">
      <c r="A39" s="153"/>
      <c r="B39" s="154"/>
      <c r="C39" s="210" t="s">
        <v>226</v>
      </c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1"/>
      <c r="AY39" s="118"/>
      <c r="AZ39" s="119"/>
      <c r="BA39" s="104"/>
      <c r="BB39" s="104"/>
      <c r="BC39" s="104"/>
      <c r="BD39" s="104"/>
      <c r="BE39" s="104">
        <f>25000-24977.55</f>
        <v>22.450000000000728</v>
      </c>
      <c r="BF39" s="104"/>
      <c r="BG39" s="124"/>
    </row>
    <row r="40" spans="1:59" ht="12.75" customHeight="1">
      <c r="A40" s="161"/>
      <c r="B40" s="165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200"/>
      <c r="AY40" s="8"/>
      <c r="AZ40" s="81" t="s">
        <v>24</v>
      </c>
      <c r="BA40" s="95">
        <f>BB40+BC40+BD40+BE40</f>
        <v>127398</v>
      </c>
      <c r="BB40" s="90">
        <v>127398</v>
      </c>
      <c r="BC40" s="90">
        <v>0</v>
      </c>
      <c r="BD40" s="90">
        <v>0</v>
      </c>
      <c r="BE40" s="90">
        <f>15000-15000</f>
        <v>0</v>
      </c>
      <c r="BF40" s="90">
        <v>0</v>
      </c>
      <c r="BG40" s="91" t="s">
        <v>227</v>
      </c>
    </row>
    <row r="41" spans="1:59" ht="12.75" customHeight="1">
      <c r="A41" s="5"/>
      <c r="B41" s="202" t="s">
        <v>48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3"/>
      <c r="AY41" s="14">
        <v>220</v>
      </c>
      <c r="AZ41" s="81"/>
      <c r="BA41" s="95">
        <f>BA43</f>
        <v>0</v>
      </c>
      <c r="BB41" s="94">
        <f t="shared" ref="BB41:BF41" si="3">BB43</f>
        <v>0</v>
      </c>
      <c r="BC41" s="94">
        <f t="shared" si="3"/>
        <v>0</v>
      </c>
      <c r="BD41" s="94">
        <f t="shared" si="3"/>
        <v>0</v>
      </c>
      <c r="BE41" s="94">
        <f t="shared" si="3"/>
        <v>0</v>
      </c>
      <c r="BF41" s="94">
        <f t="shared" si="3"/>
        <v>0</v>
      </c>
    </row>
    <row r="42" spans="1:59" ht="25.5" customHeight="1">
      <c r="A42" s="6"/>
      <c r="B42" s="7"/>
      <c r="C42" s="199" t="s">
        <v>16</v>
      </c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200"/>
      <c r="AY42" s="8"/>
      <c r="AZ42" s="81"/>
      <c r="BA42" s="95"/>
      <c r="BB42" s="90"/>
      <c r="BC42" s="90"/>
      <c r="BD42" s="90"/>
      <c r="BE42" s="90"/>
      <c r="BF42" s="90"/>
    </row>
    <row r="43" spans="1:59" ht="12.75">
      <c r="A43" s="161"/>
      <c r="B43" s="165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200"/>
      <c r="AY43" s="8"/>
      <c r="AZ43" s="81" t="s">
        <v>21</v>
      </c>
      <c r="BA43" s="95">
        <f>BB43+BC43+BD43+BE43</f>
        <v>0</v>
      </c>
      <c r="BB43" s="90">
        <v>0</v>
      </c>
      <c r="BC43" s="90">
        <v>0</v>
      </c>
      <c r="BD43" s="90">
        <v>0</v>
      </c>
      <c r="BE43" s="90">
        <v>0</v>
      </c>
      <c r="BF43" s="90">
        <v>0</v>
      </c>
    </row>
    <row r="44" spans="1:59" ht="12.75" customHeight="1">
      <c r="A44" s="161"/>
      <c r="B44" s="165"/>
      <c r="C44" s="202" t="s">
        <v>49</v>
      </c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3"/>
      <c r="AY44" s="14">
        <v>230</v>
      </c>
      <c r="AZ44" s="81"/>
      <c r="BA44" s="95">
        <f t="shared" ref="BA44:BF44" si="4">BA47+BA48+BA52+BA46</f>
        <v>415005.21</v>
      </c>
      <c r="BB44" s="94">
        <f t="shared" si="4"/>
        <v>403855</v>
      </c>
      <c r="BC44" s="94">
        <f t="shared" si="4"/>
        <v>0</v>
      </c>
      <c r="BD44" s="94">
        <f t="shared" si="4"/>
        <v>0</v>
      </c>
      <c r="BE44" s="94">
        <f t="shared" si="4"/>
        <v>11150.21</v>
      </c>
      <c r="BF44" s="94">
        <f t="shared" si="4"/>
        <v>0</v>
      </c>
    </row>
    <row r="45" spans="1:59" ht="12.75" customHeight="1">
      <c r="A45" s="161"/>
      <c r="B45" s="165"/>
      <c r="C45" s="199" t="s">
        <v>16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200"/>
      <c r="AY45" s="8"/>
      <c r="AZ45" s="81"/>
      <c r="BA45" s="95"/>
      <c r="BB45" s="90"/>
      <c r="BC45" s="90"/>
      <c r="BD45" s="90"/>
      <c r="BE45" s="90"/>
      <c r="BF45" s="90"/>
    </row>
    <row r="46" spans="1:59" ht="12.75">
      <c r="A46" s="237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9"/>
      <c r="AY46" s="8"/>
      <c r="AZ46" s="81" t="s">
        <v>162</v>
      </c>
      <c r="BA46" s="95">
        <f>BB46+BC46+BD46+BE46</f>
        <v>0</v>
      </c>
      <c r="BB46" s="90">
        <v>0</v>
      </c>
      <c r="BC46" s="90">
        <v>0</v>
      </c>
      <c r="BD46" s="90">
        <v>0</v>
      </c>
      <c r="BE46" s="90">
        <v>0</v>
      </c>
      <c r="BF46" s="90">
        <v>0</v>
      </c>
      <c r="BG46" s="91" t="s">
        <v>179</v>
      </c>
    </row>
    <row r="47" spans="1:59" ht="26.25" customHeight="1">
      <c r="A47" s="5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200"/>
      <c r="AY47" s="8"/>
      <c r="AZ47" s="81" t="s">
        <v>25</v>
      </c>
      <c r="BA47" s="95">
        <f>BB47+BC47+BD47+BE47</f>
        <v>364804</v>
      </c>
      <c r="BB47" s="90">
        <v>364804</v>
      </c>
      <c r="BC47" s="90">
        <v>0</v>
      </c>
      <c r="BD47" s="90">
        <v>0</v>
      </c>
      <c r="BE47" s="90">
        <v>0</v>
      </c>
      <c r="BF47" s="90">
        <v>0</v>
      </c>
      <c r="BG47" s="91" t="s">
        <v>180</v>
      </c>
    </row>
    <row r="48" spans="1:59" ht="12.75" customHeight="1">
      <c r="A48" s="6"/>
      <c r="B48" s="7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200"/>
      <c r="AY48" s="8"/>
      <c r="AZ48" s="81" t="s">
        <v>22</v>
      </c>
      <c r="BA48" s="95">
        <f>BB48+BC48+BD48+BE48</f>
        <v>48051</v>
      </c>
      <c r="BB48" s="90">
        <f>SUM(BB49:BB51)</f>
        <v>39051</v>
      </c>
      <c r="BC48" s="90">
        <v>0</v>
      </c>
      <c r="BD48" s="90">
        <v>0</v>
      </c>
      <c r="BE48" s="90">
        <f>SUM(BE49:BE51)</f>
        <v>9000</v>
      </c>
      <c r="BF48" s="90">
        <v>0</v>
      </c>
      <c r="BG48" s="91" t="s">
        <v>181</v>
      </c>
    </row>
    <row r="49" spans="1:59" s="103" customFormat="1" ht="12.75" hidden="1">
      <c r="A49" s="240" t="s">
        <v>218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2"/>
      <c r="AY49" s="118"/>
      <c r="AZ49" s="119"/>
      <c r="BA49" s="104"/>
      <c r="BB49" s="104">
        <v>2571</v>
      </c>
      <c r="BC49" s="104"/>
      <c r="BD49" s="104"/>
      <c r="BE49" s="104"/>
      <c r="BF49" s="104"/>
      <c r="BG49" s="124"/>
    </row>
    <row r="50" spans="1:59" s="103" customFormat="1" ht="12.75" hidden="1">
      <c r="A50" s="240" t="s">
        <v>219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2"/>
      <c r="AY50" s="118"/>
      <c r="AZ50" s="119"/>
      <c r="BA50" s="104"/>
      <c r="BB50" s="104">
        <v>36480</v>
      </c>
      <c r="BC50" s="104"/>
      <c r="BD50" s="104"/>
      <c r="BE50" s="104"/>
      <c r="BF50" s="104"/>
      <c r="BG50" s="124"/>
    </row>
    <row r="51" spans="1:59" s="103" customFormat="1" ht="12.75" hidden="1">
      <c r="A51" s="240" t="s">
        <v>225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2"/>
      <c r="AY51" s="118"/>
      <c r="AZ51" s="119"/>
      <c r="BA51" s="104"/>
      <c r="BB51" s="104"/>
      <c r="BC51" s="104"/>
      <c r="BD51" s="104"/>
      <c r="BE51" s="104">
        <f>2000+7000</f>
        <v>9000</v>
      </c>
      <c r="BF51" s="104"/>
      <c r="BG51" s="124"/>
    </row>
    <row r="52" spans="1:59" ht="12.75" customHeight="1">
      <c r="A52" s="161"/>
      <c r="B52" s="165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200"/>
      <c r="AY52" s="8"/>
      <c r="AZ52" s="81" t="s">
        <v>23</v>
      </c>
      <c r="BA52" s="95">
        <f t="shared" ref="BA52" si="5">BB52+BC52+BD52+BE52</f>
        <v>2150.21</v>
      </c>
      <c r="BB52" s="90">
        <v>0</v>
      </c>
      <c r="BC52" s="90">
        <v>0</v>
      </c>
      <c r="BD52" s="90">
        <v>0</v>
      </c>
      <c r="BE52" s="90">
        <f>2000+150.21</f>
        <v>2150.21</v>
      </c>
      <c r="BF52" s="90">
        <v>0</v>
      </c>
      <c r="BG52" s="91" t="s">
        <v>230</v>
      </c>
    </row>
    <row r="53" spans="1:59" ht="12.75" customHeight="1">
      <c r="A53" s="161"/>
      <c r="B53" s="165"/>
      <c r="C53" s="202" t="s">
        <v>50</v>
      </c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3"/>
      <c r="AY53" s="14">
        <v>240</v>
      </c>
      <c r="AZ53" s="81"/>
      <c r="BA53" s="95"/>
      <c r="BB53" s="94"/>
      <c r="BC53" s="94"/>
      <c r="BD53" s="94"/>
      <c r="BE53" s="94"/>
      <c r="BF53" s="94"/>
    </row>
    <row r="54" spans="1:59" ht="12.75" customHeight="1">
      <c r="A54" s="161"/>
      <c r="B54" s="165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200"/>
      <c r="AY54" s="8"/>
      <c r="AZ54" s="81"/>
      <c r="BA54" s="95"/>
      <c r="BB54" s="90"/>
      <c r="BC54" s="90"/>
      <c r="BD54" s="90"/>
      <c r="BE54" s="90"/>
      <c r="BF54" s="90"/>
    </row>
    <row r="55" spans="1:59" ht="12.75">
      <c r="A55" s="161"/>
      <c r="B55" s="165"/>
      <c r="C55" s="202" t="s">
        <v>51</v>
      </c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3"/>
      <c r="AY55" s="14">
        <v>250</v>
      </c>
      <c r="AZ55" s="81" t="s">
        <v>61</v>
      </c>
      <c r="BA55" s="95">
        <f>BD55</f>
        <v>0</v>
      </c>
      <c r="BB55" s="94">
        <v>0</v>
      </c>
      <c r="BC55" s="94">
        <v>0</v>
      </c>
      <c r="BD55" s="94">
        <v>0</v>
      </c>
      <c r="BE55" s="94">
        <v>0</v>
      </c>
      <c r="BF55" s="94">
        <v>0</v>
      </c>
      <c r="BG55" s="91" t="s">
        <v>62</v>
      </c>
    </row>
    <row r="56" spans="1:59" ht="12.75" customHeight="1">
      <c r="A56" s="5"/>
      <c r="B56" s="202" t="s">
        <v>60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3"/>
      <c r="AY56" s="14">
        <v>260</v>
      </c>
      <c r="AZ56" s="81" t="s">
        <v>17</v>
      </c>
      <c r="BA56" s="95">
        <f>BB56+BC56+BD56+BE56</f>
        <v>3942224.4899999998</v>
      </c>
      <c r="BB56" s="94">
        <f>SUM(BB57:BB77)</f>
        <v>3349584.3099999996</v>
      </c>
      <c r="BC56" s="94">
        <f>SUM(BC57:BC100)</f>
        <v>61680</v>
      </c>
      <c r="BD56" s="94">
        <v>0</v>
      </c>
      <c r="BE56" s="94">
        <f>SUM(BE57:BE100)</f>
        <v>530960.18000000005</v>
      </c>
      <c r="BF56" s="94">
        <v>0</v>
      </c>
    </row>
    <row r="57" spans="1:59" s="103" customFormat="1" ht="12.75" hidden="1">
      <c r="A57" s="212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1"/>
      <c r="AY57" s="243">
        <v>4000</v>
      </c>
      <c r="AZ57" s="119" t="s">
        <v>182</v>
      </c>
      <c r="BA57" s="104"/>
      <c r="BB57" s="104">
        <f>50052-5613.6</f>
        <v>44438.400000000001</v>
      </c>
      <c r="BC57" s="104"/>
      <c r="BD57" s="104"/>
      <c r="BE57" s="104"/>
      <c r="BF57" s="104"/>
      <c r="BG57" s="245" t="s">
        <v>163</v>
      </c>
    </row>
    <row r="58" spans="1:59" s="103" customFormat="1" ht="12.75" hidden="1" customHeight="1">
      <c r="A58" s="212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1"/>
      <c r="AY58" s="244"/>
      <c r="AZ58" s="119" t="s">
        <v>183</v>
      </c>
      <c r="BA58" s="104"/>
      <c r="BB58" s="104">
        <f>1084680</f>
        <v>1084680</v>
      </c>
      <c r="BC58" s="104"/>
      <c r="BD58" s="104"/>
      <c r="BE58" s="104"/>
      <c r="BF58" s="104"/>
      <c r="BG58" s="245"/>
    </row>
    <row r="59" spans="1:59" s="103" customFormat="1" ht="12.75" hidden="1" customHeight="1">
      <c r="A59" s="212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1"/>
      <c r="AY59" s="244"/>
      <c r="AZ59" s="119" t="s">
        <v>184</v>
      </c>
      <c r="BA59" s="104"/>
      <c r="BB59" s="104">
        <f>831218</f>
        <v>831218</v>
      </c>
      <c r="BC59" s="104"/>
      <c r="BD59" s="104"/>
      <c r="BE59" s="104"/>
      <c r="BF59" s="104"/>
      <c r="BG59" s="245"/>
    </row>
    <row r="60" spans="1:59" s="103" customFormat="1" ht="12.75" hidden="1" customHeight="1">
      <c r="A60" s="212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1"/>
      <c r="AY60" s="244"/>
      <c r="AZ60" s="119" t="s">
        <v>185</v>
      </c>
      <c r="BA60" s="104"/>
      <c r="BB60" s="104">
        <f>41794</f>
        <v>41794</v>
      </c>
      <c r="BC60" s="104"/>
      <c r="BD60" s="104"/>
      <c r="BE60" s="104"/>
      <c r="BF60" s="104"/>
      <c r="BG60" s="245"/>
    </row>
    <row r="61" spans="1:59" s="103" customFormat="1" ht="12.75" hidden="1" customHeight="1">
      <c r="A61" s="212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1"/>
      <c r="AY61" s="244"/>
      <c r="AZ61" s="119" t="s">
        <v>186</v>
      </c>
      <c r="BA61" s="104"/>
      <c r="BB61" s="104">
        <f>180966+90292.24</f>
        <v>271258.23999999999</v>
      </c>
      <c r="BC61" s="104"/>
      <c r="BD61" s="104"/>
      <c r="BE61" s="104"/>
      <c r="BF61" s="104"/>
      <c r="BG61" s="245"/>
    </row>
    <row r="62" spans="1:59" s="103" customFormat="1" ht="12.75" hidden="1" customHeight="1">
      <c r="A62" s="212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1"/>
      <c r="AY62" s="244"/>
      <c r="AZ62" s="119" t="s">
        <v>187</v>
      </c>
      <c r="BA62" s="104"/>
      <c r="BB62" s="104">
        <f>263621-72900.91</f>
        <v>190720.09</v>
      </c>
      <c r="BC62" s="104"/>
      <c r="BD62" s="104"/>
      <c r="BE62" s="104"/>
      <c r="BF62" s="104"/>
      <c r="BG62" s="245"/>
    </row>
    <row r="63" spans="1:59" s="103" customFormat="1" ht="12.75" hidden="1" customHeight="1">
      <c r="A63" s="212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1"/>
      <c r="AY63" s="244"/>
      <c r="AZ63" s="119" t="s">
        <v>188</v>
      </c>
      <c r="BA63" s="104"/>
      <c r="BB63" s="104">
        <f>137897-11777.73</f>
        <v>126119.27</v>
      </c>
      <c r="BC63" s="104"/>
      <c r="BD63" s="104"/>
      <c r="BE63" s="104"/>
      <c r="BF63" s="104"/>
      <c r="BG63" s="245"/>
    </row>
    <row r="64" spans="1:59" s="103" customFormat="1" ht="12.75" hidden="1" customHeight="1">
      <c r="A64" s="246" t="s">
        <v>190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7"/>
      <c r="AT64" s="247"/>
      <c r="AU64" s="247"/>
      <c r="AV64" s="247"/>
      <c r="AW64" s="247"/>
      <c r="AX64" s="248"/>
      <c r="AY64" s="244"/>
      <c r="AZ64" s="119" t="s">
        <v>187</v>
      </c>
      <c r="BA64" s="104"/>
      <c r="BB64" s="104">
        <f>23684-23684</f>
        <v>0</v>
      </c>
      <c r="BC64" s="104"/>
      <c r="BD64" s="104"/>
      <c r="BE64" s="104"/>
      <c r="BF64" s="104"/>
      <c r="BG64" s="245"/>
    </row>
    <row r="65" spans="1:63" s="103" customFormat="1" ht="12.75" hidden="1" customHeight="1">
      <c r="A65" s="249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1"/>
      <c r="AY65" s="244"/>
      <c r="AZ65" s="119" t="s">
        <v>189</v>
      </c>
      <c r="BA65" s="104"/>
      <c r="BB65" s="104">
        <f>13696-13696</f>
        <v>0</v>
      </c>
      <c r="BC65" s="104"/>
      <c r="BD65" s="104"/>
      <c r="BE65" s="104"/>
      <c r="BF65" s="104"/>
      <c r="BG65" s="245"/>
    </row>
    <row r="66" spans="1:63" s="103" customFormat="1" ht="12.75" hidden="1">
      <c r="A66" s="212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1"/>
      <c r="AY66" s="252">
        <v>4199</v>
      </c>
      <c r="AZ66" s="119" t="s">
        <v>182</v>
      </c>
      <c r="BA66" s="104"/>
      <c r="BB66" s="104">
        <f>5312.72</f>
        <v>5312.72</v>
      </c>
      <c r="BC66" s="104"/>
      <c r="BD66" s="104"/>
      <c r="BE66" s="104"/>
      <c r="BF66" s="104"/>
      <c r="BG66" s="245"/>
    </row>
    <row r="67" spans="1:63" s="103" customFormat="1" ht="12.75" hidden="1">
      <c r="A67" s="212"/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1"/>
      <c r="AY67" s="252"/>
      <c r="AZ67" s="119" t="s">
        <v>183</v>
      </c>
      <c r="BA67" s="104"/>
      <c r="BB67" s="104">
        <f>759605.45-330782.78-12605.08</f>
        <v>416217.58999999991</v>
      </c>
      <c r="BC67" s="104"/>
      <c r="BD67" s="104"/>
      <c r="BE67" s="104"/>
      <c r="BF67" s="104"/>
      <c r="BG67" s="245"/>
    </row>
    <row r="68" spans="1:63" s="103" customFormat="1" ht="12.75" hidden="1">
      <c r="A68" s="212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1"/>
      <c r="AY68" s="252"/>
      <c r="AZ68" s="119" t="s">
        <v>184</v>
      </c>
      <c r="BA68" s="104"/>
      <c r="BB68" s="104">
        <f>323310.09</f>
        <v>323310.09000000003</v>
      </c>
      <c r="BC68" s="104"/>
      <c r="BD68" s="104"/>
      <c r="BE68" s="104"/>
      <c r="BF68" s="104"/>
      <c r="BG68" s="245"/>
    </row>
    <row r="69" spans="1:63" s="103" customFormat="1" ht="12.75" hidden="1">
      <c r="A69" s="212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1"/>
      <c r="AY69" s="252"/>
      <c r="AZ69" s="119" t="s">
        <v>185</v>
      </c>
      <c r="BA69" s="104"/>
      <c r="BB69" s="104">
        <f>11281.03-5994.22</f>
        <v>5286.81</v>
      </c>
      <c r="BC69" s="104"/>
      <c r="BD69" s="104"/>
      <c r="BE69" s="104"/>
      <c r="BF69" s="104"/>
      <c r="BG69" s="245"/>
    </row>
    <row r="70" spans="1:63" s="103" customFormat="1" ht="12.75" hidden="1">
      <c r="A70" s="246" t="s">
        <v>228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8"/>
      <c r="AY70" s="252"/>
      <c r="AZ70" s="119" t="s">
        <v>187</v>
      </c>
      <c r="BA70" s="104"/>
      <c r="BB70" s="104">
        <v>0</v>
      </c>
      <c r="BC70" s="104"/>
      <c r="BD70" s="104"/>
      <c r="BE70" s="104"/>
      <c r="BF70" s="104"/>
      <c r="BG70" s="245"/>
    </row>
    <row r="71" spans="1:63" s="103" customFormat="1" ht="12.75" hidden="1" customHeight="1">
      <c r="A71" s="249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250"/>
      <c r="AU71" s="250"/>
      <c r="AV71" s="250"/>
      <c r="AW71" s="250"/>
      <c r="AX71" s="251"/>
      <c r="AY71" s="252"/>
      <c r="AZ71" s="119" t="s">
        <v>189</v>
      </c>
      <c r="BA71" s="104"/>
      <c r="BB71" s="104">
        <v>4029.1</v>
      </c>
      <c r="BC71" s="104"/>
      <c r="BD71" s="104"/>
      <c r="BE71" s="104"/>
      <c r="BF71" s="104"/>
      <c r="BG71" s="245"/>
    </row>
    <row r="72" spans="1:63" s="103" customFormat="1" ht="12.75" hidden="1">
      <c r="A72" s="253"/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5"/>
      <c r="AY72" s="252"/>
      <c r="AZ72" s="119" t="s">
        <v>188</v>
      </c>
      <c r="BA72" s="104"/>
      <c r="BB72" s="104">
        <v>5200</v>
      </c>
      <c r="BC72" s="104"/>
      <c r="BD72" s="104"/>
      <c r="BE72" s="104"/>
      <c r="BF72" s="104"/>
      <c r="BG72" s="245"/>
    </row>
    <row r="73" spans="1:63" s="103" customFormat="1" ht="12.75" hidden="1">
      <c r="A73" s="212" t="s">
        <v>239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1"/>
      <c r="AY73" s="118"/>
      <c r="AZ73" s="119" t="s">
        <v>189</v>
      </c>
      <c r="BA73" s="104"/>
      <c r="BB73" s="104"/>
      <c r="BC73" s="104">
        <v>13696</v>
      </c>
      <c r="BD73" s="104"/>
      <c r="BE73" s="104"/>
      <c r="BF73" s="104"/>
      <c r="BG73" s="245"/>
    </row>
    <row r="74" spans="1:63" s="103" customFormat="1" ht="12.75" hidden="1">
      <c r="A74" s="212" t="s">
        <v>239</v>
      </c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1"/>
      <c r="AY74" s="118"/>
      <c r="AZ74" s="119" t="s">
        <v>187</v>
      </c>
      <c r="BA74" s="104"/>
      <c r="BB74" s="104"/>
      <c r="BC74" s="104">
        <v>23684</v>
      </c>
      <c r="BD74" s="104"/>
      <c r="BE74" s="104"/>
      <c r="BF74" s="104"/>
      <c r="BG74" s="245"/>
    </row>
    <row r="75" spans="1:63" s="103" customFormat="1" ht="12.75" hidden="1">
      <c r="A75" s="212" t="s">
        <v>192</v>
      </c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1"/>
      <c r="AY75" s="118"/>
      <c r="AZ75" s="119" t="s">
        <v>193</v>
      </c>
      <c r="BA75" s="104"/>
      <c r="BB75" s="104"/>
      <c r="BC75" s="104">
        <v>24300</v>
      </c>
      <c r="BD75" s="104"/>
      <c r="BE75" s="104"/>
      <c r="BF75" s="104"/>
      <c r="BG75" s="245"/>
    </row>
    <row r="76" spans="1:63" s="103" customFormat="1" ht="14.25" hidden="1" customHeight="1">
      <c r="A76" s="212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1"/>
      <c r="AY76" s="118"/>
      <c r="AZ76" s="119" t="s">
        <v>187</v>
      </c>
      <c r="BA76" s="104"/>
      <c r="BB76" s="104"/>
      <c r="BC76" s="104"/>
      <c r="BD76" s="104"/>
      <c r="BE76" s="104"/>
      <c r="BF76" s="104"/>
      <c r="BG76" s="245"/>
    </row>
    <row r="77" spans="1:63" s="103" customFormat="1" ht="14.25" hidden="1" customHeight="1">
      <c r="A77" s="212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1"/>
      <c r="AY77" s="118"/>
      <c r="AZ77" s="119" t="s">
        <v>189</v>
      </c>
      <c r="BA77" s="104"/>
      <c r="BB77" s="104"/>
      <c r="BC77" s="104"/>
      <c r="BD77" s="104"/>
      <c r="BE77" s="104"/>
      <c r="BF77" s="104"/>
      <c r="BG77" s="245"/>
    </row>
    <row r="78" spans="1:63" s="103" customFormat="1" ht="14.25" hidden="1" customHeight="1">
      <c r="A78" s="212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1"/>
      <c r="AY78" s="118"/>
      <c r="AZ78" s="119" t="s">
        <v>188</v>
      </c>
      <c r="BA78" s="104"/>
      <c r="BB78" s="104"/>
      <c r="BC78" s="104"/>
      <c r="BD78" s="104"/>
      <c r="BE78" s="104"/>
      <c r="BF78" s="104"/>
      <c r="BG78" s="245"/>
      <c r="BH78" s="105" t="s">
        <v>204</v>
      </c>
      <c r="BI78" s="106" t="s">
        <v>205</v>
      </c>
      <c r="BJ78" s="106" t="s">
        <v>206</v>
      </c>
      <c r="BK78" s="106" t="s">
        <v>157</v>
      </c>
    </row>
    <row r="79" spans="1:63" s="103" customFormat="1" ht="14.25" hidden="1" customHeight="1">
      <c r="A79" s="158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60"/>
      <c r="AY79" s="118">
        <v>2001</v>
      </c>
      <c r="AZ79" s="119" t="s">
        <v>182</v>
      </c>
      <c r="BA79" s="104"/>
      <c r="BB79" s="104"/>
      <c r="BC79" s="104"/>
      <c r="BD79" s="104"/>
      <c r="BE79" s="104">
        <f>22000+1016</f>
        <v>23016</v>
      </c>
      <c r="BF79" s="104"/>
      <c r="BG79" s="245"/>
      <c r="BH79" s="105">
        <v>221</v>
      </c>
      <c r="BI79" s="107">
        <f>BE79+BE95</f>
        <v>32516</v>
      </c>
      <c r="BJ79" s="107">
        <f>BB57+BB66</f>
        <v>49751.12</v>
      </c>
      <c r="BK79" s="107">
        <f>BI79+BJ79</f>
        <v>82267.12</v>
      </c>
    </row>
    <row r="80" spans="1:63" s="103" customFormat="1" ht="14.25" hidden="1" customHeight="1">
      <c r="A80" s="158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60" t="s">
        <v>196</v>
      </c>
      <c r="AY80" s="118">
        <v>2001</v>
      </c>
      <c r="AZ80" s="119" t="s">
        <v>191</v>
      </c>
      <c r="BA80" s="104"/>
      <c r="BB80" s="104"/>
      <c r="BC80" s="104"/>
      <c r="BD80" s="104"/>
      <c r="BE80" s="104">
        <f>13000</f>
        <v>13000</v>
      </c>
      <c r="BF80" s="104"/>
      <c r="BG80" s="245"/>
      <c r="BH80" s="105">
        <v>222</v>
      </c>
      <c r="BI80" s="107">
        <f>0</f>
        <v>0</v>
      </c>
      <c r="BJ80" s="107">
        <f>BC75</f>
        <v>24300</v>
      </c>
      <c r="BK80" s="107">
        <f t="shared" ref="BK80:BK86" si="6">BI80+BJ80</f>
        <v>24300</v>
      </c>
    </row>
    <row r="81" spans="1:63" s="103" customFormat="1" ht="14.25" hidden="1" customHeight="1">
      <c r="A81" s="158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60" t="s">
        <v>197</v>
      </c>
      <c r="AY81" s="118">
        <v>2001</v>
      </c>
      <c r="AZ81" s="119" t="s">
        <v>191</v>
      </c>
      <c r="BA81" s="104"/>
      <c r="BB81" s="104"/>
      <c r="BC81" s="104"/>
      <c r="BD81" s="104"/>
      <c r="BE81" s="104">
        <f>9000</f>
        <v>9000</v>
      </c>
      <c r="BF81" s="104"/>
      <c r="BG81" s="245"/>
      <c r="BH81" s="105">
        <v>223</v>
      </c>
      <c r="BI81" s="107">
        <f>BE80+BE81+BE82+BE92+BE93+BE94</f>
        <v>183252.77</v>
      </c>
      <c r="BJ81" s="107">
        <f>BB58+BB59+BB60+BB67+BB68+BB69</f>
        <v>2702506.4899999998</v>
      </c>
      <c r="BK81" s="107">
        <f t="shared" si="6"/>
        <v>2885759.26</v>
      </c>
    </row>
    <row r="82" spans="1:63" s="103" customFormat="1" ht="14.25" hidden="1" customHeight="1">
      <c r="A82" s="158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60" t="s">
        <v>198</v>
      </c>
      <c r="AY82" s="118">
        <v>2001</v>
      </c>
      <c r="AZ82" s="119" t="s">
        <v>191</v>
      </c>
      <c r="BA82" s="104"/>
      <c r="BB82" s="104"/>
      <c r="BC82" s="104"/>
      <c r="BD82" s="104"/>
      <c r="BE82" s="104">
        <f>2000</f>
        <v>2000</v>
      </c>
      <c r="BF82" s="104"/>
      <c r="BG82" s="245"/>
      <c r="BH82" s="105">
        <v>225</v>
      </c>
      <c r="BI82" s="107">
        <f>BE83+BE88+BE96+BE87</f>
        <v>91300</v>
      </c>
      <c r="BJ82" s="107">
        <f>BB61</f>
        <v>271258.23999999999</v>
      </c>
      <c r="BK82" s="107">
        <f t="shared" si="6"/>
        <v>362558.24</v>
      </c>
    </row>
    <row r="83" spans="1:63" s="103" customFormat="1" ht="14.25" hidden="1" customHeight="1">
      <c r="A83" s="158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60"/>
      <c r="AY83" s="118">
        <v>2001</v>
      </c>
      <c r="AZ83" s="119" t="s">
        <v>186</v>
      </c>
      <c r="BA83" s="104"/>
      <c r="BB83" s="104"/>
      <c r="BC83" s="104"/>
      <c r="BD83" s="104"/>
      <c r="BE83" s="104">
        <f>100000-68700</f>
        <v>31300</v>
      </c>
      <c r="BF83" s="104"/>
      <c r="BG83" s="245"/>
      <c r="BH83" s="105">
        <v>226</v>
      </c>
      <c r="BI83" s="107">
        <f>BE84+BE89+BE97</f>
        <v>138215.4</v>
      </c>
      <c r="BJ83" s="107">
        <f>BB62+BB64+BB70+BC74</f>
        <v>214404.09</v>
      </c>
      <c r="BK83" s="107">
        <f t="shared" si="6"/>
        <v>352619.49</v>
      </c>
    </row>
    <row r="84" spans="1:63" s="103" customFormat="1" ht="14.25" hidden="1" customHeight="1">
      <c r="A84" s="158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60"/>
      <c r="AY84" s="118">
        <v>2001</v>
      </c>
      <c r="AZ84" s="119" t="s">
        <v>187</v>
      </c>
      <c r="BA84" s="104"/>
      <c r="BB84" s="104"/>
      <c r="BC84" s="104"/>
      <c r="BD84" s="104"/>
      <c r="BE84" s="104">
        <f>10000+26170</f>
        <v>36170</v>
      </c>
      <c r="BF84" s="104"/>
      <c r="BG84" s="245"/>
      <c r="BH84" s="105">
        <v>290</v>
      </c>
      <c r="BI84" s="107">
        <v>0</v>
      </c>
      <c r="BJ84" s="107">
        <f>BB65+BB71+BC73</f>
        <v>17725.099999999999</v>
      </c>
      <c r="BK84" s="107">
        <f t="shared" si="6"/>
        <v>17725.099999999999</v>
      </c>
    </row>
    <row r="85" spans="1:63" s="103" customFormat="1" ht="14.25" hidden="1" customHeight="1">
      <c r="A85" s="158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60"/>
      <c r="AY85" s="118">
        <v>2001</v>
      </c>
      <c r="AZ85" s="119" t="s">
        <v>199</v>
      </c>
      <c r="BA85" s="104"/>
      <c r="BB85" s="104"/>
      <c r="BC85" s="104"/>
      <c r="BD85" s="104"/>
      <c r="BE85" s="104">
        <f>6000-2728.7</f>
        <v>3271.3</v>
      </c>
      <c r="BF85" s="104"/>
      <c r="BG85" s="245"/>
      <c r="BH85" s="105">
        <v>310</v>
      </c>
      <c r="BI85" s="107">
        <f>BE85+BE90+BE98</f>
        <v>3271.3</v>
      </c>
      <c r="BJ85" s="107">
        <f>0</f>
        <v>0</v>
      </c>
      <c r="BK85" s="107">
        <f t="shared" si="6"/>
        <v>3271.3</v>
      </c>
    </row>
    <row r="86" spans="1:63" s="103" customFormat="1" ht="14.25" hidden="1" customHeight="1">
      <c r="A86" s="158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60"/>
      <c r="AY86" s="118">
        <v>2001</v>
      </c>
      <c r="AZ86" s="119" t="s">
        <v>188</v>
      </c>
      <c r="BA86" s="104"/>
      <c r="BB86" s="104"/>
      <c r="BC86" s="104"/>
      <c r="BD86" s="104"/>
      <c r="BE86" s="104">
        <f>15000+45946.7</f>
        <v>60946.7</v>
      </c>
      <c r="BF86" s="104"/>
      <c r="BG86" s="245"/>
      <c r="BH86" s="105">
        <v>340</v>
      </c>
      <c r="BI86" s="107">
        <f>BE86+BE91+BE99+BE100</f>
        <v>82404.709999999992</v>
      </c>
      <c r="BJ86" s="107">
        <f>BB72+BB63</f>
        <v>131319.27000000002</v>
      </c>
      <c r="BK86" s="107">
        <f t="shared" si="6"/>
        <v>213723.98</v>
      </c>
    </row>
    <row r="87" spans="1:63" s="103" customFormat="1" ht="14.25" hidden="1" customHeight="1">
      <c r="A87" s="158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60"/>
      <c r="AY87" s="118">
        <v>2006</v>
      </c>
      <c r="AZ87" s="119" t="s">
        <v>186</v>
      </c>
      <c r="BA87" s="104"/>
      <c r="BB87" s="104"/>
      <c r="BC87" s="104"/>
      <c r="BD87" s="104"/>
      <c r="BE87" s="104">
        <v>60000</v>
      </c>
      <c r="BF87" s="104"/>
      <c r="BG87" s="245"/>
      <c r="BH87" s="105" t="s">
        <v>157</v>
      </c>
      <c r="BI87" s="107">
        <f>SUM(BI79:BI86)</f>
        <v>530960.18000000005</v>
      </c>
      <c r="BJ87" s="107">
        <f>SUM(BJ79:BJ86)</f>
        <v>3411264.3099999996</v>
      </c>
      <c r="BK87" s="107">
        <f t="shared" ref="BK87" si="7">SUM(BK79:BK86)</f>
        <v>3942224.49</v>
      </c>
    </row>
    <row r="88" spans="1:63" s="103" customFormat="1" ht="14.25" hidden="1" customHeight="1">
      <c r="A88" s="158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60"/>
      <c r="AY88" s="118">
        <v>2010</v>
      </c>
      <c r="AZ88" s="119" t="s">
        <v>186</v>
      </c>
      <c r="BA88" s="104"/>
      <c r="BB88" s="104"/>
      <c r="BC88" s="104"/>
      <c r="BD88" s="104"/>
      <c r="BE88" s="104"/>
      <c r="BF88" s="104"/>
      <c r="BG88" s="245"/>
      <c r="BH88" s="105"/>
      <c r="BI88" s="109">
        <f>BE56-BI87</f>
        <v>0</v>
      </c>
      <c r="BJ88" s="109">
        <f>(BB56+BC56)-BJ87</f>
        <v>0</v>
      </c>
      <c r="BK88" s="108">
        <f>BA56-BK87</f>
        <v>0</v>
      </c>
    </row>
    <row r="89" spans="1:63" s="103" customFormat="1" ht="14.25" hidden="1" customHeight="1">
      <c r="A89" s="158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60"/>
      <c r="AY89" s="118">
        <v>2010</v>
      </c>
      <c r="AZ89" s="119" t="s">
        <v>187</v>
      </c>
      <c r="BA89" s="104"/>
      <c r="BB89" s="104"/>
      <c r="BC89" s="104"/>
      <c r="BD89" s="104"/>
      <c r="BE89" s="104">
        <f>10000-10000</f>
        <v>0</v>
      </c>
      <c r="BF89" s="104"/>
      <c r="BG89" s="245"/>
    </row>
    <row r="90" spans="1:63" s="103" customFormat="1" ht="14.25" hidden="1" customHeight="1">
      <c r="A90" s="158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60"/>
      <c r="AY90" s="118">
        <v>2010</v>
      </c>
      <c r="AZ90" s="119" t="s">
        <v>199</v>
      </c>
      <c r="BA90" s="104"/>
      <c r="BB90" s="104"/>
      <c r="BC90" s="104"/>
      <c r="BD90" s="104"/>
      <c r="BE90" s="104">
        <f>15000-15000</f>
        <v>0</v>
      </c>
      <c r="BF90" s="104"/>
      <c r="BG90" s="245"/>
      <c r="BH90" s="105" t="s">
        <v>210</v>
      </c>
      <c r="BI90" s="105" t="s">
        <v>205</v>
      </c>
      <c r="BJ90" s="105" t="s">
        <v>229</v>
      </c>
      <c r="BK90" s="110" t="s">
        <v>209</v>
      </c>
    </row>
    <row r="91" spans="1:63" s="103" customFormat="1" ht="14.25" hidden="1" customHeight="1">
      <c r="A91" s="158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60"/>
      <c r="AY91" s="118">
        <v>2010</v>
      </c>
      <c r="AZ91" s="119" t="s">
        <v>188</v>
      </c>
      <c r="BA91" s="104"/>
      <c r="BB91" s="104"/>
      <c r="BC91" s="104"/>
      <c r="BD91" s="104"/>
      <c r="BE91" s="104">
        <f>30000-30000</f>
        <v>0</v>
      </c>
      <c r="BF91" s="104"/>
      <c r="BG91" s="245"/>
      <c r="BH91" s="105" t="s">
        <v>196</v>
      </c>
      <c r="BI91" s="111">
        <f>BE80+BE92</f>
        <v>101900</v>
      </c>
      <c r="BJ91" s="111">
        <f>BB58+BB67</f>
        <v>1500897.5899999999</v>
      </c>
      <c r="BK91" s="111">
        <f>BJ91-BI109</f>
        <v>1500897.5899999999</v>
      </c>
    </row>
    <row r="92" spans="1:63" s="103" customFormat="1" ht="14.25" hidden="1" customHeight="1">
      <c r="A92" s="158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60" t="s">
        <v>196</v>
      </c>
      <c r="AY92" s="118">
        <v>2011</v>
      </c>
      <c r="AZ92" s="119" t="s">
        <v>191</v>
      </c>
      <c r="BA92" s="104"/>
      <c r="BB92" s="104"/>
      <c r="BC92" s="104"/>
      <c r="BD92" s="104"/>
      <c r="BE92" s="104">
        <f>12000+76900</f>
        <v>88900</v>
      </c>
      <c r="BF92" s="104"/>
      <c r="BG92" s="245"/>
      <c r="BH92" s="105" t="s">
        <v>197</v>
      </c>
      <c r="BI92" s="111">
        <f>BE81+BE93</f>
        <v>71100</v>
      </c>
      <c r="BJ92" s="111">
        <f>BB59+BB68</f>
        <v>1154528.0900000001</v>
      </c>
      <c r="BK92" s="111">
        <f>BJ92-BI110</f>
        <v>1154528.0900000001</v>
      </c>
    </row>
    <row r="93" spans="1:63" s="103" customFormat="1" ht="14.25" hidden="1" customHeight="1">
      <c r="A93" s="158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60" t="s">
        <v>197</v>
      </c>
      <c r="AY93" s="118">
        <v>2011</v>
      </c>
      <c r="AZ93" s="119" t="s">
        <v>191</v>
      </c>
      <c r="BA93" s="104"/>
      <c r="BB93" s="104"/>
      <c r="BC93" s="104"/>
      <c r="BD93" s="104"/>
      <c r="BE93" s="104">
        <f>30000+32100</f>
        <v>62100</v>
      </c>
      <c r="BF93" s="104"/>
      <c r="BG93" s="245"/>
      <c r="BH93" s="105" t="s">
        <v>198</v>
      </c>
      <c r="BI93" s="111">
        <f>BE82+BE94</f>
        <v>10252.77</v>
      </c>
      <c r="BJ93" s="111">
        <f>BB60+BB69</f>
        <v>47080.81</v>
      </c>
      <c r="BK93" s="111">
        <f>BJ93-BI111</f>
        <v>47080.81</v>
      </c>
    </row>
    <row r="94" spans="1:63" s="103" customFormat="1" ht="14.25" hidden="1" customHeight="1">
      <c r="A94" s="158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60" t="s">
        <v>198</v>
      </c>
      <c r="AY94" s="118">
        <v>2011</v>
      </c>
      <c r="AZ94" s="119" t="s">
        <v>191</v>
      </c>
      <c r="BA94" s="104"/>
      <c r="BB94" s="104"/>
      <c r="BC94" s="104"/>
      <c r="BD94" s="104"/>
      <c r="BE94" s="104">
        <f>3000+5252.77</f>
        <v>8252.77</v>
      </c>
      <c r="BF94" s="104"/>
      <c r="BG94" s="245"/>
      <c r="BH94" s="105"/>
      <c r="BI94" s="111">
        <f>SUM(BI91:BI93)</f>
        <v>183252.77</v>
      </c>
      <c r="BJ94" s="111">
        <f>SUM(BJ91:BJ93)</f>
        <v>2702506.4899999998</v>
      </c>
      <c r="BK94" s="111">
        <f>SUM(BK91:BK93)</f>
        <v>2702506.4899999998</v>
      </c>
    </row>
    <row r="95" spans="1:63" s="103" customFormat="1" ht="14.25" hidden="1" customHeight="1">
      <c r="A95" s="212"/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1"/>
      <c r="AY95" s="118">
        <v>2019</v>
      </c>
      <c r="AZ95" s="119" t="s">
        <v>182</v>
      </c>
      <c r="BA95" s="104"/>
      <c r="BB95" s="104"/>
      <c r="BC95" s="104"/>
      <c r="BD95" s="104"/>
      <c r="BE95" s="104">
        <f>10000-500</f>
        <v>9500</v>
      </c>
      <c r="BF95" s="104"/>
      <c r="BG95" s="245"/>
      <c r="BH95" s="105"/>
      <c r="BI95" s="256">
        <f>BI94+BJ94</f>
        <v>2885759.26</v>
      </c>
      <c r="BJ95" s="257"/>
      <c r="BK95" s="155">
        <f>BK81-BI95</f>
        <v>0</v>
      </c>
    </row>
    <row r="96" spans="1:63" s="103" customFormat="1" ht="14.25" hidden="1" customHeight="1">
      <c r="A96" s="212"/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1"/>
      <c r="AY96" s="118">
        <v>2019</v>
      </c>
      <c r="AZ96" s="119" t="s">
        <v>186</v>
      </c>
      <c r="BA96" s="104"/>
      <c r="BB96" s="104"/>
      <c r="BC96" s="104"/>
      <c r="BD96" s="104"/>
      <c r="BE96" s="104">
        <f>17000-17000</f>
        <v>0</v>
      </c>
      <c r="BF96" s="104"/>
      <c r="BG96" s="245"/>
    </row>
    <row r="97" spans="1:62" s="103" customFormat="1" ht="14.25" hidden="1" customHeight="1">
      <c r="A97" s="212"/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1"/>
      <c r="AY97" s="118">
        <v>2019</v>
      </c>
      <c r="AZ97" s="119" t="s">
        <v>187</v>
      </c>
      <c r="BA97" s="104"/>
      <c r="BB97" s="104"/>
      <c r="BC97" s="104"/>
      <c r="BD97" s="104"/>
      <c r="BE97" s="104">
        <f>66000+36045.4</f>
        <v>102045.4</v>
      </c>
      <c r="BF97" s="104"/>
      <c r="BG97" s="245"/>
    </row>
    <row r="98" spans="1:62" s="103" customFormat="1" ht="14.25" hidden="1" customHeight="1">
      <c r="A98" s="158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60"/>
      <c r="AY98" s="118">
        <v>2019</v>
      </c>
      <c r="AZ98" s="119" t="s">
        <v>199</v>
      </c>
      <c r="BA98" s="104"/>
      <c r="BB98" s="104"/>
      <c r="BC98" s="104"/>
      <c r="BD98" s="104"/>
      <c r="BE98" s="104"/>
      <c r="BF98" s="104"/>
      <c r="BG98" s="245"/>
      <c r="BH98" s="112" t="s">
        <v>220</v>
      </c>
      <c r="BI98" s="112"/>
      <c r="BJ98" s="112"/>
    </row>
    <row r="99" spans="1:62" s="103" customFormat="1" ht="14.25" hidden="1" customHeight="1">
      <c r="A99" s="212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1"/>
      <c r="AY99" s="118">
        <v>2019</v>
      </c>
      <c r="AZ99" s="119" t="s">
        <v>188</v>
      </c>
      <c r="BA99" s="104"/>
      <c r="BB99" s="104"/>
      <c r="BC99" s="104"/>
      <c r="BD99" s="104"/>
      <c r="BE99" s="104">
        <f>40000-18545.4</f>
        <v>21454.6</v>
      </c>
      <c r="BF99" s="104"/>
      <c r="BG99" s="245"/>
      <c r="BH99" s="113">
        <v>2001</v>
      </c>
      <c r="BI99" s="114">
        <v>32454.21</v>
      </c>
      <c r="BJ99" s="258">
        <f>BI99+BI100+BI101+BI102+BI103+BI104+BI105</f>
        <v>1205858.5</v>
      </c>
    </row>
    <row r="100" spans="1:62" s="103" customFormat="1" ht="14.25" hidden="1" customHeight="1">
      <c r="A100" s="212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1"/>
      <c r="AY100" s="118">
        <v>2021</v>
      </c>
      <c r="AZ100" s="119" t="s">
        <v>189</v>
      </c>
      <c r="BA100" s="104"/>
      <c r="BB100" s="104"/>
      <c r="BC100" s="104"/>
      <c r="BD100" s="104"/>
      <c r="BE100" s="104">
        <v>3.41</v>
      </c>
      <c r="BF100" s="104"/>
      <c r="BG100" s="245"/>
      <c r="BH100" s="113">
        <v>2010</v>
      </c>
      <c r="BI100" s="114">
        <v>22.45</v>
      </c>
      <c r="BJ100" s="259"/>
    </row>
    <row r="101" spans="1:62" ht="12.75">
      <c r="A101" s="6"/>
      <c r="B101" s="7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200"/>
      <c r="AY101" s="8"/>
      <c r="AZ101" s="81"/>
      <c r="BA101" s="95"/>
      <c r="BB101" s="90"/>
      <c r="BC101" s="90"/>
      <c r="BD101" s="90"/>
      <c r="BE101" s="90"/>
      <c r="BF101" s="90"/>
      <c r="BH101" s="113">
        <v>2011</v>
      </c>
      <c r="BI101" s="114">
        <v>37252.769999999997</v>
      </c>
      <c r="BJ101" s="259"/>
    </row>
    <row r="102" spans="1:62" ht="12.75">
      <c r="A102" s="161"/>
      <c r="B102" s="165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200"/>
      <c r="AY102" s="8"/>
      <c r="AZ102" s="81"/>
      <c r="BA102" s="95"/>
      <c r="BB102" s="90"/>
      <c r="BC102" s="90"/>
      <c r="BD102" s="90"/>
      <c r="BE102" s="90"/>
      <c r="BF102" s="90"/>
      <c r="BH102" s="113">
        <v>2019</v>
      </c>
      <c r="BI102" s="114">
        <v>3087.27</v>
      </c>
      <c r="BJ102" s="259"/>
    </row>
    <row r="103" spans="1:62" ht="12.75">
      <c r="A103" s="5"/>
      <c r="B103" s="199" t="s">
        <v>52</v>
      </c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200"/>
      <c r="AY103" s="8">
        <v>300</v>
      </c>
      <c r="AZ103" s="81" t="s">
        <v>32</v>
      </c>
      <c r="BA103" s="95">
        <f t="shared" ref="BA103:BA108" si="8">BB103+BC103+BD103+BF103</f>
        <v>0</v>
      </c>
      <c r="BB103" s="90"/>
      <c r="BC103" s="90"/>
      <c r="BD103" s="90"/>
      <c r="BE103" s="90"/>
      <c r="BF103" s="90"/>
      <c r="BH103" s="113">
        <v>5199</v>
      </c>
      <c r="BI103" s="114">
        <v>24300</v>
      </c>
      <c r="BJ103" s="260"/>
    </row>
    <row r="104" spans="1:62" ht="12.75">
      <c r="A104" s="6"/>
      <c r="B104" s="7"/>
      <c r="C104" s="199" t="s">
        <v>53</v>
      </c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200"/>
      <c r="AY104" s="8">
        <v>310</v>
      </c>
      <c r="AZ104" s="81"/>
      <c r="BA104" s="95">
        <f t="shared" si="8"/>
        <v>0</v>
      </c>
      <c r="BB104" s="90"/>
      <c r="BC104" s="90"/>
      <c r="BD104" s="90"/>
      <c r="BE104" s="90"/>
      <c r="BF104" s="90"/>
      <c r="BH104" s="113">
        <v>2021</v>
      </c>
      <c r="BI104" s="114">
        <v>3.41</v>
      </c>
      <c r="BJ104" s="122"/>
    </row>
    <row r="105" spans="1:62" ht="12.75">
      <c r="A105" s="161"/>
      <c r="B105" s="165"/>
      <c r="C105" s="199" t="s">
        <v>54</v>
      </c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200"/>
      <c r="AY105" s="8">
        <v>320</v>
      </c>
      <c r="AZ105" s="81"/>
      <c r="BA105" s="95">
        <f t="shared" si="8"/>
        <v>0</v>
      </c>
      <c r="BB105" s="90"/>
      <c r="BC105" s="90"/>
      <c r="BD105" s="90"/>
      <c r="BE105" s="90"/>
      <c r="BF105" s="90"/>
      <c r="BH105" s="113">
        <v>4000</v>
      </c>
      <c r="BI105" s="114">
        <v>1108738.3899999999</v>
      </c>
      <c r="BJ105" s="122"/>
    </row>
    <row r="106" spans="1:62" ht="12.75">
      <c r="A106" s="161"/>
      <c r="B106" s="165"/>
      <c r="C106" s="199" t="s">
        <v>55</v>
      </c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199"/>
      <c r="AU106" s="199"/>
      <c r="AV106" s="199"/>
      <c r="AW106" s="199"/>
      <c r="AX106" s="200"/>
      <c r="AY106" s="8">
        <v>400</v>
      </c>
      <c r="AZ106" s="81"/>
      <c r="BA106" s="95">
        <f t="shared" si="8"/>
        <v>0</v>
      </c>
      <c r="BB106" s="90"/>
      <c r="BC106" s="90"/>
      <c r="BD106" s="90"/>
      <c r="BE106" s="90"/>
      <c r="BF106" s="90"/>
      <c r="BH106" s="144"/>
      <c r="BI106" s="144"/>
      <c r="BJ106" s="144"/>
    </row>
    <row r="107" spans="1:62" ht="12.75">
      <c r="A107" s="161"/>
      <c r="B107" s="165"/>
      <c r="C107" s="199" t="s">
        <v>56</v>
      </c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199"/>
      <c r="AV107" s="199"/>
      <c r="AW107" s="199"/>
      <c r="AX107" s="200"/>
      <c r="AY107" s="8">
        <v>410</v>
      </c>
      <c r="AZ107" s="81"/>
      <c r="BA107" s="95">
        <f t="shared" si="8"/>
        <v>0</v>
      </c>
      <c r="BB107" s="90"/>
      <c r="BC107" s="90"/>
      <c r="BD107" s="90"/>
      <c r="BE107" s="90"/>
      <c r="BF107" s="90"/>
      <c r="BH107" s="144"/>
      <c r="BI107" s="144"/>
      <c r="BJ107" s="144"/>
    </row>
    <row r="108" spans="1:62" ht="12.75">
      <c r="A108" s="161"/>
      <c r="B108" s="165"/>
      <c r="C108" s="199" t="s">
        <v>57</v>
      </c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  <c r="AU108" s="199"/>
      <c r="AV108" s="199"/>
      <c r="AW108" s="199"/>
      <c r="AX108" s="200"/>
      <c r="AY108" s="8">
        <v>420</v>
      </c>
      <c r="AZ108" s="81"/>
      <c r="BA108" s="95">
        <f t="shared" si="8"/>
        <v>0</v>
      </c>
      <c r="BB108" s="90"/>
      <c r="BC108" s="90"/>
      <c r="BD108" s="90"/>
      <c r="BE108" s="90"/>
      <c r="BF108" s="90"/>
      <c r="BH108" s="141"/>
      <c r="BI108" s="142"/>
      <c r="BJ108" s="144"/>
    </row>
    <row r="109" spans="1:62" ht="12.75">
      <c r="A109" s="161"/>
      <c r="B109" s="201" t="s">
        <v>26</v>
      </c>
      <c r="C109" s="202" t="s">
        <v>11</v>
      </c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3"/>
      <c r="AY109" s="14" t="s">
        <v>27</v>
      </c>
      <c r="AZ109" s="81" t="s">
        <v>32</v>
      </c>
      <c r="BA109" s="95">
        <f>BB109+BC109+BD109+BE109</f>
        <v>1205858.5</v>
      </c>
      <c r="BB109" s="94">
        <v>1108738.3899999999</v>
      </c>
      <c r="BC109" s="94">
        <v>24300</v>
      </c>
      <c r="BD109" s="94">
        <v>0</v>
      </c>
      <c r="BE109" s="94">
        <v>72820.11</v>
      </c>
      <c r="BF109" s="94">
        <v>0</v>
      </c>
      <c r="BH109" s="141"/>
      <c r="BI109" s="143"/>
      <c r="BJ109" s="144"/>
    </row>
    <row r="110" spans="1:62" ht="12.75">
      <c r="A110" s="161"/>
      <c r="B110" s="204" t="s">
        <v>28</v>
      </c>
      <c r="C110" s="205" t="s">
        <v>11</v>
      </c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163" t="s">
        <v>29</v>
      </c>
      <c r="AZ110" s="81" t="s">
        <v>32</v>
      </c>
      <c r="BA110" s="95">
        <f>BB110+BC110+BD110+BF110</f>
        <v>0</v>
      </c>
      <c r="BB110" s="90"/>
      <c r="BC110" s="90"/>
      <c r="BD110" s="90"/>
      <c r="BE110" s="90"/>
      <c r="BF110" s="90"/>
      <c r="BH110" s="141"/>
      <c r="BI110" s="143"/>
    </row>
    <row r="111" spans="1:62" ht="12.75">
      <c r="A111" s="126"/>
      <c r="B111" s="133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30"/>
      <c r="AZ111" s="131"/>
      <c r="BA111" s="132"/>
      <c r="BB111" s="128"/>
      <c r="BC111" s="128"/>
      <c r="BD111" s="128"/>
      <c r="BE111" s="128"/>
      <c r="BF111" s="128"/>
      <c r="BH111" s="141"/>
      <c r="BI111" s="143"/>
    </row>
    <row r="112" spans="1:62" ht="12.75">
      <c r="A112" s="126"/>
      <c r="B112" s="127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30"/>
      <c r="AZ112" s="131"/>
      <c r="BA112" s="132"/>
      <c r="BB112" s="128"/>
      <c r="BC112" s="128"/>
      <c r="BD112" s="128"/>
      <c r="BE112" s="128"/>
      <c r="BF112" s="128"/>
      <c r="BH112" s="141"/>
      <c r="BI112" s="143"/>
    </row>
    <row r="113" spans="1:58" ht="12.75" customHeight="1">
      <c r="A113" s="206" t="s">
        <v>63</v>
      </c>
      <c r="B113" s="206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BA113" s="123">
        <f t="shared" ref="BA113:BF113" si="9">BA30-BA9-BA109</f>
        <v>0</v>
      </c>
      <c r="BB113" s="123">
        <f t="shared" si="9"/>
        <v>0</v>
      </c>
      <c r="BC113" s="123">
        <f t="shared" si="9"/>
        <v>0</v>
      </c>
      <c r="BD113" s="123">
        <f t="shared" si="9"/>
        <v>0</v>
      </c>
      <c r="BE113" s="123">
        <f t="shared" si="9"/>
        <v>0</v>
      </c>
      <c r="BF113" s="123">
        <f t="shared" si="9"/>
        <v>0</v>
      </c>
    </row>
    <row r="114" spans="1:58" ht="12.75" customHeight="1"/>
    <row r="115" spans="1:58" ht="12.75" customHeight="1"/>
    <row r="116" spans="1:58" ht="12.75">
      <c r="BB116" s="125"/>
    </row>
    <row r="117" spans="1:58" ht="12.75"/>
    <row r="118" spans="1:58" ht="12.75" customHeight="1"/>
    <row r="121" spans="1:58" ht="12.75"/>
  </sheetData>
  <mergeCells count="101">
    <mergeCell ref="BI95:BJ95"/>
    <mergeCell ref="A96:AX96"/>
    <mergeCell ref="A97:AX97"/>
    <mergeCell ref="A99:AX99"/>
    <mergeCell ref="BJ99:BJ103"/>
    <mergeCell ref="C101:AX101"/>
    <mergeCell ref="C102:AX102"/>
    <mergeCell ref="B103:AX103"/>
    <mergeCell ref="C104:AX104"/>
    <mergeCell ref="AY57:AY65"/>
    <mergeCell ref="BG57:BG100"/>
    <mergeCell ref="A58:AX58"/>
    <mergeCell ref="A59:AX59"/>
    <mergeCell ref="A64:AX65"/>
    <mergeCell ref="AY66:AY72"/>
    <mergeCell ref="A67:AX67"/>
    <mergeCell ref="A68:AX68"/>
    <mergeCell ref="A70:AX72"/>
    <mergeCell ref="A73:AX73"/>
    <mergeCell ref="A74:AX74"/>
    <mergeCell ref="A75:AX75"/>
    <mergeCell ref="A95:AX95"/>
    <mergeCell ref="A63:AX63"/>
    <mergeCell ref="A61:AX61"/>
    <mergeCell ref="C44:AX44"/>
    <mergeCell ref="A46:AX46"/>
    <mergeCell ref="B47:AX47"/>
    <mergeCell ref="A50:AX50"/>
    <mergeCell ref="A51:AX51"/>
    <mergeCell ref="C52:AX52"/>
    <mergeCell ref="C53:AX53"/>
    <mergeCell ref="C45:AX45"/>
    <mergeCell ref="C48:AX48"/>
    <mergeCell ref="A49:AX49"/>
    <mergeCell ref="C36:AX36"/>
    <mergeCell ref="C37:AX37"/>
    <mergeCell ref="A26:AX26"/>
    <mergeCell ref="B28:AX28"/>
    <mergeCell ref="B31:AX31"/>
    <mergeCell ref="C43:AX43"/>
    <mergeCell ref="C40:AX40"/>
    <mergeCell ref="C42:AX42"/>
    <mergeCell ref="B29:AX29"/>
    <mergeCell ref="C35:AX35"/>
    <mergeCell ref="B41:AX41"/>
    <mergeCell ref="B9:AX9"/>
    <mergeCell ref="B10:AX10"/>
    <mergeCell ref="B11:AX11"/>
    <mergeCell ref="B12:AX12"/>
    <mergeCell ref="A27:AX27"/>
    <mergeCell ref="A23:AX23"/>
    <mergeCell ref="A24:AX24"/>
    <mergeCell ref="B25:AX25"/>
    <mergeCell ref="B32:AX32"/>
    <mergeCell ref="BG13:BG19"/>
    <mergeCell ref="A18:AX18"/>
    <mergeCell ref="A19:AX19"/>
    <mergeCell ref="B21:AX21"/>
    <mergeCell ref="B22:AX22"/>
    <mergeCell ref="A13:AX13"/>
    <mergeCell ref="A14:AX14"/>
    <mergeCell ref="A15:AX15"/>
    <mergeCell ref="B20:AX20"/>
    <mergeCell ref="A16:AX16"/>
    <mergeCell ref="A17:AX17"/>
    <mergeCell ref="A2:BF2"/>
    <mergeCell ref="A8:AX8"/>
    <mergeCell ref="BC6:BC7"/>
    <mergeCell ref="BA5:BA7"/>
    <mergeCell ref="A4:AX7"/>
    <mergeCell ref="AY4:AY7"/>
    <mergeCell ref="AZ4:AZ7"/>
    <mergeCell ref="BA4:BF4"/>
    <mergeCell ref="BE6:BF6"/>
    <mergeCell ref="BB5:BF5"/>
    <mergeCell ref="BD6:BD7"/>
    <mergeCell ref="BB6:BB7"/>
    <mergeCell ref="C106:AX106"/>
    <mergeCell ref="C107:AX107"/>
    <mergeCell ref="C105:AX105"/>
    <mergeCell ref="C108:AX108"/>
    <mergeCell ref="B109:AX109"/>
    <mergeCell ref="B110:AX110"/>
    <mergeCell ref="A113:AX113"/>
    <mergeCell ref="B30:AX30"/>
    <mergeCell ref="C33:AX33"/>
    <mergeCell ref="C34:AX34"/>
    <mergeCell ref="A66:AX66"/>
    <mergeCell ref="A76:AX76"/>
    <mergeCell ref="A77:AX77"/>
    <mergeCell ref="A78:AX78"/>
    <mergeCell ref="A62:AX62"/>
    <mergeCell ref="A100:AX100"/>
    <mergeCell ref="A60:AX60"/>
    <mergeCell ref="A69:AX69"/>
    <mergeCell ref="C55:AX55"/>
    <mergeCell ref="C54:AX54"/>
    <mergeCell ref="B56:AX56"/>
    <mergeCell ref="A57:AX57"/>
    <mergeCell ref="C39:AX39"/>
    <mergeCell ref="C38:AX38"/>
  </mergeCells>
  <pageMargins left="0.11811023622047245" right="0.11811023622047245" top="0" bottom="0" header="0.31496062992125984" footer="0.31496062992125984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G48"/>
  <sheetViews>
    <sheetView tabSelected="1" view="pageBreakPreview" zoomScaleNormal="71" zoomScaleSheetLayoutView="100" workbookViewId="0">
      <pane ySplit="8" topLeftCell="A30" activePane="bottomLeft" state="frozen"/>
      <selection pane="bottomLeft" activeCell="BH41" sqref="BH41"/>
    </sheetView>
  </sheetViews>
  <sheetFormatPr defaultRowHeight="10.15" customHeight="1"/>
  <cols>
    <col min="1" max="49" width="0.28515625" style="34" customWidth="1"/>
    <col min="50" max="50" width="10.5703125" style="34" customWidth="1"/>
    <col min="51" max="51" width="6.7109375" style="34" customWidth="1"/>
    <col min="52" max="52" width="8.7109375" style="34" customWidth="1"/>
    <col min="53" max="53" width="13.28515625" style="34" customWidth="1"/>
    <col min="54" max="54" width="13.42578125" style="34" customWidth="1"/>
    <col min="55" max="55" width="15.140625" style="34" customWidth="1"/>
    <col min="56" max="56" width="12.140625" style="34" customWidth="1"/>
    <col min="57" max="57" width="11.140625" style="34" customWidth="1"/>
    <col min="58" max="58" width="9.7109375" style="34" customWidth="1"/>
    <col min="59" max="59" width="12.7109375" style="34" bestFit="1" customWidth="1"/>
    <col min="60" max="16384" width="9.140625" style="34"/>
  </cols>
  <sheetData>
    <row r="1" spans="1:59" ht="12.75"/>
    <row r="2" spans="1:59" ht="21" customHeight="1">
      <c r="A2" s="213" t="s">
        <v>138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</row>
    <row r="3" spans="1:59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1"/>
      <c r="BD3" s="1"/>
      <c r="BE3" s="1"/>
      <c r="BF3" s="1"/>
    </row>
    <row r="4" spans="1:59" ht="12.75" customHeight="1">
      <c r="A4" s="220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2"/>
      <c r="AY4" s="229" t="s">
        <v>1</v>
      </c>
      <c r="AZ4" s="229" t="s">
        <v>2</v>
      </c>
      <c r="BA4" s="214" t="s">
        <v>3</v>
      </c>
      <c r="BB4" s="215"/>
      <c r="BC4" s="215"/>
      <c r="BD4" s="215"/>
      <c r="BE4" s="215"/>
      <c r="BF4" s="215"/>
    </row>
    <row r="5" spans="1:59" ht="12.75" customHeigh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5"/>
      <c r="AY5" s="230"/>
      <c r="AZ5" s="230"/>
      <c r="BA5" s="262" t="s">
        <v>30</v>
      </c>
      <c r="BB5" s="231" t="s">
        <v>4</v>
      </c>
      <c r="BC5" s="231"/>
      <c r="BD5" s="231"/>
      <c r="BE5" s="231"/>
      <c r="BF5" s="231"/>
    </row>
    <row r="6" spans="1:59" ht="61.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5"/>
      <c r="AY6" s="230"/>
      <c r="AZ6" s="230"/>
      <c r="BA6" s="230"/>
      <c r="BB6" s="217" t="s">
        <v>5</v>
      </c>
      <c r="BC6" s="217" t="s">
        <v>6</v>
      </c>
      <c r="BD6" s="217" t="s">
        <v>7</v>
      </c>
      <c r="BE6" s="217" t="s">
        <v>8</v>
      </c>
      <c r="BF6" s="217"/>
    </row>
    <row r="7" spans="1:59" ht="31.5" customHeight="1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8"/>
      <c r="AY7" s="231"/>
      <c r="AZ7" s="231"/>
      <c r="BA7" s="231"/>
      <c r="BB7" s="217"/>
      <c r="BC7" s="217"/>
      <c r="BD7" s="217"/>
      <c r="BE7" s="38" t="s">
        <v>9</v>
      </c>
      <c r="BF7" s="38" t="s">
        <v>10</v>
      </c>
    </row>
    <row r="8" spans="1:59" ht="11.1" customHeight="1">
      <c r="A8" s="214">
        <v>1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6"/>
      <c r="AY8" s="2">
        <v>2</v>
      </c>
      <c r="AZ8" s="39">
        <v>3</v>
      </c>
      <c r="BA8" s="39">
        <v>4</v>
      </c>
      <c r="BB8" s="39">
        <v>5</v>
      </c>
      <c r="BC8" s="39">
        <v>6</v>
      </c>
      <c r="BD8" s="39">
        <v>7</v>
      </c>
      <c r="BE8" s="38">
        <v>8</v>
      </c>
      <c r="BF8" s="38">
        <v>9</v>
      </c>
    </row>
    <row r="9" spans="1:59" ht="23.25" customHeight="1">
      <c r="A9" s="3"/>
      <c r="B9" s="263" t="s">
        <v>31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9"/>
      <c r="AY9" s="12">
        <v>100</v>
      </c>
      <c r="AZ9" s="13" t="s">
        <v>32</v>
      </c>
      <c r="BA9" s="93">
        <f>BA10+BA12+BA13+BA14+BA15+BA16+BA17</f>
        <v>14203852</v>
      </c>
      <c r="BB9" s="93">
        <f>BB12</f>
        <v>13316691</v>
      </c>
      <c r="BC9" s="93">
        <f>BC15</f>
        <v>151161</v>
      </c>
      <c r="BD9" s="93">
        <f>BD15</f>
        <v>0</v>
      </c>
      <c r="BE9" s="93">
        <f>BE10+BE12+BE13+BE14+BE16+BE17</f>
        <v>736000</v>
      </c>
      <c r="BF9" s="93">
        <f>BF12+BF16</f>
        <v>0</v>
      </c>
      <c r="BG9" s="92">
        <f>BA9+BA47-BA19</f>
        <v>0</v>
      </c>
    </row>
    <row r="10" spans="1:59" ht="21.75" customHeight="1">
      <c r="A10" s="5"/>
      <c r="B10" s="261" t="s">
        <v>58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200"/>
      <c r="AY10" s="8">
        <v>110</v>
      </c>
      <c r="AZ10" s="9" t="s">
        <v>13</v>
      </c>
      <c r="BA10" s="90">
        <f>BE10</f>
        <v>140000</v>
      </c>
      <c r="BB10" s="89" t="s">
        <v>32</v>
      </c>
      <c r="BC10" s="89" t="s">
        <v>32</v>
      </c>
      <c r="BD10" s="89" t="s">
        <v>32</v>
      </c>
      <c r="BE10" s="90">
        <v>140000</v>
      </c>
      <c r="BF10" s="89" t="s">
        <v>32</v>
      </c>
      <c r="BG10" s="10" t="s">
        <v>33</v>
      </c>
    </row>
    <row r="11" spans="1:59" ht="13.5" customHeight="1">
      <c r="A11" s="5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200"/>
      <c r="AY11" s="8"/>
      <c r="AZ11" s="4"/>
      <c r="BA11" s="90"/>
      <c r="BB11" s="90"/>
      <c r="BC11" s="90"/>
      <c r="BD11" s="90"/>
      <c r="BE11" s="90"/>
      <c r="BF11" s="90"/>
    </row>
    <row r="12" spans="1:59" ht="12.75">
      <c r="A12" s="5"/>
      <c r="B12" s="261" t="s">
        <v>37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200"/>
      <c r="AY12" s="8">
        <v>120</v>
      </c>
      <c r="AZ12" s="9" t="s">
        <v>15</v>
      </c>
      <c r="BA12" s="90">
        <f>BB12+BE12+BF12</f>
        <v>13751691</v>
      </c>
      <c r="BB12" s="90">
        <f>13354071-37380</f>
        <v>13316691</v>
      </c>
      <c r="BC12" s="89" t="s">
        <v>32</v>
      </c>
      <c r="BD12" s="89" t="s">
        <v>32</v>
      </c>
      <c r="BE12" s="90">
        <f>390000+45000</f>
        <v>435000</v>
      </c>
      <c r="BF12" s="90">
        <v>0</v>
      </c>
      <c r="BG12" s="10" t="s">
        <v>42</v>
      </c>
    </row>
    <row r="13" spans="1:59" ht="24" customHeight="1">
      <c r="A13" s="5"/>
      <c r="B13" s="261" t="s">
        <v>36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200"/>
      <c r="AY13" s="8">
        <v>130</v>
      </c>
      <c r="AZ13" s="4" t="s">
        <v>14</v>
      </c>
      <c r="BA13" s="90">
        <f>BE13</f>
        <v>6000</v>
      </c>
      <c r="BB13" s="89" t="s">
        <v>32</v>
      </c>
      <c r="BC13" s="89" t="s">
        <v>32</v>
      </c>
      <c r="BD13" s="89" t="s">
        <v>32</v>
      </c>
      <c r="BE13" s="89">
        <v>6000</v>
      </c>
      <c r="BF13" s="89" t="s">
        <v>32</v>
      </c>
      <c r="BG13" s="10" t="s">
        <v>34</v>
      </c>
    </row>
    <row r="14" spans="1:59" ht="56.25" customHeight="1">
      <c r="A14" s="5"/>
      <c r="B14" s="261" t="s">
        <v>35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200"/>
      <c r="AY14" s="8">
        <v>140</v>
      </c>
      <c r="AZ14" s="9" t="s">
        <v>43</v>
      </c>
      <c r="BA14" s="90">
        <f>BE14</f>
        <v>0</v>
      </c>
      <c r="BB14" s="89" t="s">
        <v>32</v>
      </c>
      <c r="BC14" s="89" t="s">
        <v>32</v>
      </c>
      <c r="BD14" s="89" t="s">
        <v>32</v>
      </c>
      <c r="BE14" s="89">
        <v>0</v>
      </c>
      <c r="BF14" s="89" t="s">
        <v>32</v>
      </c>
    </row>
    <row r="15" spans="1:59" ht="26.25" customHeight="1">
      <c r="A15" s="5"/>
      <c r="B15" s="261" t="s">
        <v>38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200"/>
      <c r="AY15" s="8">
        <v>150</v>
      </c>
      <c r="AZ15" s="9" t="s">
        <v>12</v>
      </c>
      <c r="BA15" s="90">
        <f>BC15+BD15</f>
        <v>151161</v>
      </c>
      <c r="BB15" s="89" t="s">
        <v>32</v>
      </c>
      <c r="BC15" s="90">
        <f>113781+37380</f>
        <v>151161</v>
      </c>
      <c r="BD15" s="90">
        <v>0</v>
      </c>
      <c r="BE15" s="89" t="s">
        <v>32</v>
      </c>
      <c r="BF15" s="89" t="s">
        <v>32</v>
      </c>
      <c r="BG15" s="10" t="s">
        <v>44</v>
      </c>
    </row>
    <row r="16" spans="1:59" ht="13.5" customHeight="1">
      <c r="A16" s="5"/>
      <c r="B16" s="261" t="s">
        <v>39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200"/>
      <c r="AY16" s="8">
        <v>160</v>
      </c>
      <c r="AZ16" s="4" t="s">
        <v>12</v>
      </c>
      <c r="BA16" s="90">
        <f>BE16</f>
        <v>155000</v>
      </c>
      <c r="BB16" s="89" t="s">
        <v>32</v>
      </c>
      <c r="BC16" s="89" t="s">
        <v>32</v>
      </c>
      <c r="BD16" s="89" t="s">
        <v>32</v>
      </c>
      <c r="BE16" s="90">
        <f>60000+95000</f>
        <v>155000</v>
      </c>
      <c r="BF16" s="90">
        <v>0</v>
      </c>
      <c r="BG16" s="10" t="s">
        <v>40</v>
      </c>
    </row>
    <row r="17" spans="1:59" ht="18" customHeight="1">
      <c r="A17" s="5"/>
      <c r="B17" s="261" t="s">
        <v>41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200"/>
      <c r="AY17" s="8">
        <v>180</v>
      </c>
      <c r="AZ17" s="9" t="s">
        <v>59</v>
      </c>
      <c r="BA17" s="90">
        <f>BE17</f>
        <v>0</v>
      </c>
      <c r="BB17" s="89" t="s">
        <v>32</v>
      </c>
      <c r="BC17" s="89" t="s">
        <v>32</v>
      </c>
      <c r="BD17" s="89" t="s">
        <v>32</v>
      </c>
      <c r="BE17" s="90">
        <v>0</v>
      </c>
      <c r="BF17" s="89">
        <v>0</v>
      </c>
    </row>
    <row r="18" spans="1:59" ht="12" customHeight="1">
      <c r="A18" s="11"/>
      <c r="B18" s="261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200"/>
      <c r="AY18" s="8"/>
      <c r="AZ18" s="9"/>
      <c r="BA18" s="90"/>
      <c r="BB18" s="89"/>
      <c r="BC18" s="89"/>
      <c r="BD18" s="89"/>
      <c r="BE18" s="90"/>
      <c r="BF18" s="90"/>
    </row>
    <row r="19" spans="1:59" ht="25.5" customHeight="1">
      <c r="A19" s="3"/>
      <c r="B19" s="263" t="s">
        <v>45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9"/>
      <c r="AY19" s="12">
        <v>200</v>
      </c>
      <c r="AZ19" s="13" t="s">
        <v>32</v>
      </c>
      <c r="BA19" s="93">
        <f>BA20+BA26+BA29+BA34+BA36+BA37</f>
        <v>14203852</v>
      </c>
      <c r="BB19" s="93">
        <f>BB20+BB26+BB29+BB34+BB36+BB37</f>
        <v>13316691</v>
      </c>
      <c r="BC19" s="93">
        <f t="shared" ref="BC19:BE19" si="0">BC20+BC26+BC29+BC34+BC36+BC37</f>
        <v>151161</v>
      </c>
      <c r="BD19" s="93">
        <f t="shared" si="0"/>
        <v>0</v>
      </c>
      <c r="BE19" s="93">
        <f t="shared" si="0"/>
        <v>736000</v>
      </c>
      <c r="BF19" s="93">
        <f>BF20+BF26+BF29+BF34+BF36+BF37</f>
        <v>0</v>
      </c>
      <c r="BG19" s="92"/>
    </row>
    <row r="20" spans="1:59" ht="36" customHeight="1">
      <c r="A20" s="5"/>
      <c r="B20" s="264" t="s">
        <v>46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3"/>
      <c r="AY20" s="14">
        <v>210</v>
      </c>
      <c r="AZ20" s="16"/>
      <c r="BA20" s="94">
        <f>BA21+BA24+BA25</f>
        <v>10593389</v>
      </c>
      <c r="BB20" s="94">
        <f t="shared" ref="BB20:BF20" si="1">BB21+BB24+BB25</f>
        <v>10322608</v>
      </c>
      <c r="BC20" s="94">
        <f t="shared" si="1"/>
        <v>14781</v>
      </c>
      <c r="BD20" s="94">
        <f t="shared" si="1"/>
        <v>0</v>
      </c>
      <c r="BE20" s="94">
        <f t="shared" si="1"/>
        <v>256000</v>
      </c>
      <c r="BF20" s="94">
        <f t="shared" si="1"/>
        <v>0</v>
      </c>
    </row>
    <row r="21" spans="1:59" ht="35.25" customHeight="1">
      <c r="A21" s="5"/>
      <c r="B21" s="264" t="s">
        <v>47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3"/>
      <c r="AY21" s="14">
        <v>211</v>
      </c>
      <c r="AZ21" s="15"/>
      <c r="BA21" s="94">
        <f>BA22+BA23</f>
        <v>10386108</v>
      </c>
      <c r="BB21" s="94">
        <f t="shared" ref="BB21:BF21" si="2">BB22+BB23</f>
        <v>10177108</v>
      </c>
      <c r="BC21" s="94">
        <f t="shared" si="2"/>
        <v>0</v>
      </c>
      <c r="BD21" s="94">
        <f t="shared" si="2"/>
        <v>0</v>
      </c>
      <c r="BE21" s="94">
        <f>BE22+BE23</f>
        <v>209000</v>
      </c>
      <c r="BF21" s="94">
        <f t="shared" si="2"/>
        <v>0</v>
      </c>
    </row>
    <row r="22" spans="1:59" ht="12.75">
      <c r="A22" s="6"/>
      <c r="B22" s="7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200"/>
      <c r="AY22" s="8"/>
      <c r="AZ22" s="9" t="s">
        <v>19</v>
      </c>
      <c r="BA22" s="90">
        <f>BB22+BC22+BD22+BE22</f>
        <v>8018462</v>
      </c>
      <c r="BB22" s="90">
        <f>7858462</f>
        <v>7858462</v>
      </c>
      <c r="BC22" s="90">
        <v>0</v>
      </c>
      <c r="BD22" s="90"/>
      <c r="BE22" s="90">
        <v>160000</v>
      </c>
      <c r="BF22" s="90"/>
    </row>
    <row r="23" spans="1:59" ht="12.75">
      <c r="A23" s="35"/>
      <c r="B23" s="36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200"/>
      <c r="AY23" s="8"/>
      <c r="AZ23" s="9" t="s">
        <v>20</v>
      </c>
      <c r="BA23" s="90">
        <f>BB23+BC23+BD23+BE23</f>
        <v>2367646</v>
      </c>
      <c r="BB23" s="90">
        <f>2318646</f>
        <v>2318646</v>
      </c>
      <c r="BC23" s="90">
        <v>0</v>
      </c>
      <c r="BD23" s="90"/>
      <c r="BE23" s="90">
        <v>49000</v>
      </c>
      <c r="BF23" s="90">
        <v>0</v>
      </c>
    </row>
    <row r="24" spans="1:59" ht="12.75">
      <c r="A24" s="35"/>
      <c r="B24" s="36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200"/>
      <c r="AY24" s="8"/>
      <c r="AZ24" s="9" t="s">
        <v>18</v>
      </c>
      <c r="BA24" s="90">
        <f>BB24+BC24+BD24+BE24</f>
        <v>64883</v>
      </c>
      <c r="BB24" s="90">
        <v>18102</v>
      </c>
      <c r="BC24" s="90">
        <v>14781</v>
      </c>
      <c r="BD24" s="90"/>
      <c r="BE24" s="90">
        <v>32000</v>
      </c>
      <c r="BF24" s="90">
        <v>0</v>
      </c>
    </row>
    <row r="25" spans="1:59" ht="12.75">
      <c r="A25" s="35"/>
      <c r="B25" s="36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200"/>
      <c r="AY25" s="8"/>
      <c r="AZ25" s="9" t="s">
        <v>24</v>
      </c>
      <c r="BA25" s="90">
        <f>BB25+BC25+BD25+BE25</f>
        <v>142398</v>
      </c>
      <c r="BB25" s="90">
        <v>127398</v>
      </c>
      <c r="BC25" s="90">
        <v>0</v>
      </c>
      <c r="BD25" s="90"/>
      <c r="BE25" s="90">
        <v>15000</v>
      </c>
      <c r="BF25" s="90">
        <v>0</v>
      </c>
    </row>
    <row r="26" spans="1:59" ht="33" customHeight="1">
      <c r="A26" s="5"/>
      <c r="B26" s="264" t="s">
        <v>48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3"/>
      <c r="AY26" s="14">
        <v>220</v>
      </c>
      <c r="AZ26" s="16"/>
      <c r="BA26" s="94">
        <f>BA28</f>
        <v>0</v>
      </c>
      <c r="BB26" s="94">
        <f t="shared" ref="BB26:BF26" si="3">BB28</f>
        <v>0</v>
      </c>
      <c r="BC26" s="94">
        <f t="shared" si="3"/>
        <v>0</v>
      </c>
      <c r="BD26" s="94">
        <f t="shared" si="3"/>
        <v>0</v>
      </c>
      <c r="BE26" s="94">
        <f t="shared" si="3"/>
        <v>0</v>
      </c>
      <c r="BF26" s="94">
        <f t="shared" si="3"/>
        <v>0</v>
      </c>
    </row>
    <row r="27" spans="1:59" ht="12.75">
      <c r="A27" s="6"/>
      <c r="B27" s="7"/>
      <c r="C27" s="199" t="s">
        <v>16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200"/>
      <c r="AY27" s="8"/>
      <c r="AZ27" s="4"/>
      <c r="BA27" s="90"/>
      <c r="BB27" s="90"/>
      <c r="BC27" s="90"/>
      <c r="BD27" s="90"/>
      <c r="BE27" s="90"/>
      <c r="BF27" s="90"/>
    </row>
    <row r="28" spans="1:59" ht="12.75">
      <c r="A28" s="35"/>
      <c r="B28" s="36"/>
      <c r="C28" s="261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200"/>
      <c r="AY28" s="8"/>
      <c r="AZ28" s="9" t="s">
        <v>21</v>
      </c>
      <c r="BA28" s="90">
        <f>BB28+BC28+BD28+BE28</f>
        <v>0</v>
      </c>
      <c r="BB28" s="90">
        <v>0</v>
      </c>
      <c r="BC28" s="90">
        <v>0</v>
      </c>
      <c r="BD28" s="90">
        <v>0</v>
      </c>
      <c r="BE28" s="90">
        <v>0</v>
      </c>
      <c r="BF28" s="90">
        <v>0</v>
      </c>
    </row>
    <row r="29" spans="1:59" ht="21.95" customHeight="1">
      <c r="A29" s="35"/>
      <c r="B29" s="36"/>
      <c r="C29" s="264" t="s">
        <v>49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3"/>
      <c r="AY29" s="14">
        <v>230</v>
      </c>
      <c r="AZ29" s="16"/>
      <c r="BA29" s="94">
        <f>BA31+BA32+BA33</f>
        <v>407855</v>
      </c>
      <c r="BB29" s="94">
        <f>BB31+BB32+BB33</f>
        <v>403855</v>
      </c>
      <c r="BC29" s="94">
        <f t="shared" ref="BC29:BE29" si="4">BC31+BC32+BC33</f>
        <v>0</v>
      </c>
      <c r="BD29" s="94">
        <f t="shared" si="4"/>
        <v>0</v>
      </c>
      <c r="BE29" s="94">
        <f t="shared" si="4"/>
        <v>4000</v>
      </c>
      <c r="BF29" s="94">
        <f>BF31+BF32+BF33</f>
        <v>0</v>
      </c>
    </row>
    <row r="30" spans="1:59" ht="10.5" customHeight="1">
      <c r="A30" s="35"/>
      <c r="B30" s="36"/>
      <c r="C30" s="199" t="s">
        <v>16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200"/>
      <c r="AY30" s="8"/>
      <c r="AZ30" s="4"/>
      <c r="BA30" s="90"/>
      <c r="BB30" s="90"/>
      <c r="BC30" s="90"/>
      <c r="BD30" s="90"/>
      <c r="BE30" s="90"/>
      <c r="BF30" s="90"/>
    </row>
    <row r="31" spans="1:59" ht="12.75">
      <c r="A31" s="5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200"/>
      <c r="AY31" s="8"/>
      <c r="AZ31" s="9" t="s">
        <v>25</v>
      </c>
      <c r="BA31" s="90">
        <f>BB31+BC31+BD31+BE31</f>
        <v>364804</v>
      </c>
      <c r="BB31" s="90">
        <v>364804</v>
      </c>
      <c r="BC31" s="90">
        <v>0</v>
      </c>
      <c r="BD31" s="90"/>
      <c r="BE31" s="90">
        <v>0</v>
      </c>
      <c r="BF31" s="90">
        <v>0</v>
      </c>
    </row>
    <row r="32" spans="1:59" ht="12.75">
      <c r="A32" s="6"/>
      <c r="B32" s="7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200"/>
      <c r="AY32" s="8"/>
      <c r="AZ32" s="9" t="s">
        <v>22</v>
      </c>
      <c r="BA32" s="90">
        <f>BB32+BC32+BD32+BE32</f>
        <v>41051</v>
      </c>
      <c r="BB32" s="90">
        <f>36480+2571</f>
        <v>39051</v>
      </c>
      <c r="BC32" s="90">
        <v>0</v>
      </c>
      <c r="BD32" s="90"/>
      <c r="BE32" s="90">
        <v>2000</v>
      </c>
      <c r="BF32" s="90">
        <v>0</v>
      </c>
    </row>
    <row r="33" spans="1:59" ht="12.75">
      <c r="A33" s="35"/>
      <c r="B33" s="36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200"/>
      <c r="AY33" s="8"/>
      <c r="AZ33" s="9" t="s">
        <v>23</v>
      </c>
      <c r="BA33" s="90">
        <f t="shared" ref="BA33" si="5">BB33+BC33+BD33+BE33</f>
        <v>2000</v>
      </c>
      <c r="BB33" s="90">
        <v>0</v>
      </c>
      <c r="BC33" s="90">
        <v>0</v>
      </c>
      <c r="BD33" s="90"/>
      <c r="BE33" s="90">
        <v>2000</v>
      </c>
      <c r="BF33" s="90">
        <v>0</v>
      </c>
    </row>
    <row r="34" spans="1:59" ht="23.25" customHeight="1">
      <c r="A34" s="35"/>
      <c r="B34" s="36"/>
      <c r="C34" s="264" t="s">
        <v>50</v>
      </c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3"/>
      <c r="AY34" s="14">
        <v>240</v>
      </c>
      <c r="AZ34" s="16"/>
      <c r="BA34" s="94">
        <v>0</v>
      </c>
      <c r="BB34" s="94">
        <v>0</v>
      </c>
      <c r="BC34" s="94">
        <v>0</v>
      </c>
      <c r="BD34" s="94">
        <v>0</v>
      </c>
      <c r="BE34" s="94">
        <v>0</v>
      </c>
      <c r="BF34" s="94">
        <v>0</v>
      </c>
    </row>
    <row r="35" spans="1:59" ht="11.1" customHeight="1">
      <c r="A35" s="35"/>
      <c r="B35" s="36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200"/>
      <c r="AY35" s="8"/>
      <c r="AZ35" s="4"/>
      <c r="BA35" s="90"/>
      <c r="BB35" s="90"/>
      <c r="BC35" s="90"/>
      <c r="BD35" s="90"/>
      <c r="BE35" s="90"/>
      <c r="BF35" s="90"/>
    </row>
    <row r="36" spans="1:59" ht="23.25" customHeight="1">
      <c r="A36" s="35"/>
      <c r="B36" s="36"/>
      <c r="C36" s="264" t="s">
        <v>51</v>
      </c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3"/>
      <c r="AY36" s="14">
        <v>250</v>
      </c>
      <c r="AZ36" s="15" t="s">
        <v>61</v>
      </c>
      <c r="BA36" s="94">
        <f>BD36</f>
        <v>0</v>
      </c>
      <c r="BB36" s="94">
        <v>0</v>
      </c>
      <c r="BC36" s="94">
        <v>0</v>
      </c>
      <c r="BD36" s="94">
        <v>0</v>
      </c>
      <c r="BE36" s="94">
        <v>0</v>
      </c>
      <c r="BF36" s="94">
        <v>0</v>
      </c>
      <c r="BG36" s="10" t="s">
        <v>62</v>
      </c>
    </row>
    <row r="37" spans="1:59" ht="32.25" customHeight="1">
      <c r="A37" s="5"/>
      <c r="B37" s="264" t="s">
        <v>60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3"/>
      <c r="AY37" s="14">
        <v>260</v>
      </c>
      <c r="AZ37" s="15" t="s">
        <v>17</v>
      </c>
      <c r="BA37" s="94">
        <f>BB37+BC37+BD37+BE37</f>
        <v>3202608</v>
      </c>
      <c r="BB37" s="94">
        <f>50052+1084680+831218+41794+180966+263621+137897+23684+13696-37380</f>
        <v>2590228</v>
      </c>
      <c r="BC37" s="94">
        <f>99000+37380</f>
        <v>136380</v>
      </c>
      <c r="BD37" s="94"/>
      <c r="BE37" s="94">
        <f>32000+25000+39000+5000+177000+86000+21000+91000</f>
        <v>476000</v>
      </c>
      <c r="BF37" s="94">
        <v>0</v>
      </c>
    </row>
    <row r="38" spans="1:59" ht="12.75">
      <c r="A38" s="6"/>
      <c r="B38" s="7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200"/>
      <c r="AY38" s="8"/>
      <c r="AZ38" s="4"/>
      <c r="BA38" s="90"/>
      <c r="BB38" s="90"/>
      <c r="BC38" s="90"/>
      <c r="BD38" s="90"/>
      <c r="BE38" s="90"/>
      <c r="BF38" s="90"/>
    </row>
    <row r="39" spans="1:59" ht="11.1" customHeight="1">
      <c r="A39" s="35"/>
      <c r="B39" s="36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200"/>
      <c r="AY39" s="8"/>
      <c r="AZ39" s="4"/>
      <c r="BA39" s="90"/>
      <c r="BB39" s="90"/>
      <c r="BC39" s="90"/>
      <c r="BD39" s="90"/>
      <c r="BE39" s="90"/>
      <c r="BF39" s="90"/>
    </row>
    <row r="40" spans="1:59" ht="22.5" customHeight="1">
      <c r="A40" s="5"/>
      <c r="B40" s="261" t="s">
        <v>52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200"/>
      <c r="AY40" s="8">
        <v>300</v>
      </c>
      <c r="AZ40" s="9" t="s">
        <v>32</v>
      </c>
      <c r="BA40" s="90">
        <f t="shared" ref="BA40:BA45" si="6">BB40+BC40+BD40+BF40</f>
        <v>0</v>
      </c>
      <c r="BB40" s="90">
        <v>0</v>
      </c>
      <c r="BC40" s="90">
        <v>0</v>
      </c>
      <c r="BD40" s="90">
        <v>0</v>
      </c>
      <c r="BE40" s="90">
        <v>0</v>
      </c>
      <c r="BF40" s="90">
        <v>0</v>
      </c>
    </row>
    <row r="41" spans="1:59" ht="25.5" customHeight="1">
      <c r="A41" s="6"/>
      <c r="B41" s="7"/>
      <c r="C41" s="261" t="s">
        <v>53</v>
      </c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200"/>
      <c r="AY41" s="8">
        <v>310</v>
      </c>
      <c r="AZ41" s="4"/>
      <c r="BA41" s="90">
        <f t="shared" si="6"/>
        <v>0</v>
      </c>
      <c r="BB41" s="90">
        <v>0</v>
      </c>
      <c r="BC41" s="90">
        <v>0</v>
      </c>
      <c r="BD41" s="90">
        <v>0</v>
      </c>
      <c r="BE41" s="90">
        <v>0</v>
      </c>
      <c r="BF41" s="90">
        <v>0</v>
      </c>
    </row>
    <row r="42" spans="1:59" ht="14.25" customHeight="1">
      <c r="A42" s="35"/>
      <c r="B42" s="36"/>
      <c r="C42" s="261" t="s">
        <v>54</v>
      </c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6"/>
      <c r="AY42" s="8">
        <v>320</v>
      </c>
      <c r="AZ42" s="4"/>
      <c r="BA42" s="90">
        <f t="shared" si="6"/>
        <v>0</v>
      </c>
      <c r="BB42" s="90">
        <v>0</v>
      </c>
      <c r="BC42" s="90">
        <v>0</v>
      </c>
      <c r="BD42" s="90">
        <v>0</v>
      </c>
      <c r="BE42" s="90">
        <v>0</v>
      </c>
      <c r="BF42" s="90">
        <v>0</v>
      </c>
    </row>
    <row r="43" spans="1:59" ht="21.95" customHeight="1">
      <c r="A43" s="35"/>
      <c r="B43" s="36"/>
      <c r="C43" s="261" t="s">
        <v>55</v>
      </c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6"/>
      <c r="AY43" s="8">
        <v>400</v>
      </c>
      <c r="AZ43" s="4"/>
      <c r="BA43" s="90">
        <f t="shared" si="6"/>
        <v>0</v>
      </c>
      <c r="BB43" s="90">
        <v>0</v>
      </c>
      <c r="BC43" s="90">
        <v>0</v>
      </c>
      <c r="BD43" s="90">
        <v>0</v>
      </c>
      <c r="BE43" s="90">
        <v>0</v>
      </c>
      <c r="BF43" s="90">
        <v>0</v>
      </c>
    </row>
    <row r="44" spans="1:59" ht="21.95" customHeight="1">
      <c r="A44" s="35"/>
      <c r="B44" s="36"/>
      <c r="C44" s="261" t="s">
        <v>56</v>
      </c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6"/>
      <c r="AY44" s="8">
        <v>410</v>
      </c>
      <c r="AZ44" s="4"/>
      <c r="BA44" s="90">
        <f t="shared" si="6"/>
        <v>0</v>
      </c>
      <c r="BB44" s="90">
        <v>0</v>
      </c>
      <c r="BC44" s="90">
        <v>0</v>
      </c>
      <c r="BD44" s="90">
        <v>0</v>
      </c>
      <c r="BE44" s="90">
        <v>0</v>
      </c>
      <c r="BF44" s="90">
        <v>0</v>
      </c>
    </row>
    <row r="45" spans="1:59" ht="12" customHeight="1">
      <c r="A45" s="35"/>
      <c r="B45" s="36"/>
      <c r="C45" s="261" t="s">
        <v>57</v>
      </c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6"/>
      <c r="AY45" s="8">
        <v>420</v>
      </c>
      <c r="AZ45" s="4"/>
      <c r="BA45" s="90">
        <f t="shared" si="6"/>
        <v>0</v>
      </c>
      <c r="BB45" s="90">
        <v>0</v>
      </c>
      <c r="BC45" s="90">
        <v>0</v>
      </c>
      <c r="BD45" s="90">
        <v>0</v>
      </c>
      <c r="BE45" s="90">
        <v>0</v>
      </c>
      <c r="BF45" s="90">
        <v>0</v>
      </c>
    </row>
    <row r="46" spans="1:59" ht="11.1" customHeight="1">
      <c r="A46" s="35"/>
      <c r="B46" s="201" t="s">
        <v>26</v>
      </c>
      <c r="C46" s="202" t="s">
        <v>11</v>
      </c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3"/>
      <c r="AY46" s="14" t="s">
        <v>27</v>
      </c>
      <c r="AZ46" s="15" t="s">
        <v>32</v>
      </c>
      <c r="BA46" s="94">
        <f>BB46+BC46+BD46+BE46</f>
        <v>0</v>
      </c>
      <c r="BB46" s="94">
        <v>0</v>
      </c>
      <c r="BC46" s="94">
        <v>0</v>
      </c>
      <c r="BD46" s="94">
        <v>0</v>
      </c>
      <c r="BE46" s="94">
        <v>0</v>
      </c>
      <c r="BF46" s="94">
        <v>0</v>
      </c>
    </row>
    <row r="47" spans="1:59" ht="10.5" customHeight="1">
      <c r="A47" s="35"/>
      <c r="B47" s="267" t="s">
        <v>28</v>
      </c>
      <c r="C47" s="199" t="s">
        <v>11</v>
      </c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200"/>
      <c r="AY47" s="8" t="s">
        <v>29</v>
      </c>
      <c r="AZ47" s="9" t="s">
        <v>32</v>
      </c>
      <c r="BA47" s="90">
        <f>BB47+BC47+BD47+BF47</f>
        <v>0</v>
      </c>
      <c r="BB47" s="90">
        <v>0</v>
      </c>
      <c r="BC47" s="90">
        <v>0</v>
      </c>
      <c r="BD47" s="90">
        <v>0</v>
      </c>
      <c r="BE47" s="90">
        <v>0</v>
      </c>
      <c r="BF47" s="90">
        <v>0</v>
      </c>
    </row>
    <row r="48" spans="1:59" ht="42" customHeight="1">
      <c r="A48" s="265" t="s">
        <v>63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BA48" s="17">
        <f>BA19-BA9-BA46</f>
        <v>0</v>
      </c>
      <c r="BB48" s="17">
        <f t="shared" ref="BB48:BF48" si="7">BB19-BB9-BB46</f>
        <v>0</v>
      </c>
      <c r="BC48" s="17">
        <f t="shared" si="7"/>
        <v>0</v>
      </c>
      <c r="BD48" s="17">
        <f t="shared" si="7"/>
        <v>0</v>
      </c>
      <c r="BE48" s="17">
        <f t="shared" si="7"/>
        <v>0</v>
      </c>
      <c r="BF48" s="17">
        <f t="shared" si="7"/>
        <v>0</v>
      </c>
    </row>
  </sheetData>
  <mergeCells count="52">
    <mergeCell ref="A48:AX48"/>
    <mergeCell ref="B37:AX37"/>
    <mergeCell ref="C38:AX38"/>
    <mergeCell ref="C39:AX39"/>
    <mergeCell ref="B40:AX40"/>
    <mergeCell ref="C41:AX41"/>
    <mergeCell ref="C42:AX42"/>
    <mergeCell ref="C43:AX43"/>
    <mergeCell ref="C44:AX44"/>
    <mergeCell ref="C45:AX45"/>
    <mergeCell ref="B46:AX46"/>
    <mergeCell ref="B47:AX47"/>
    <mergeCell ref="C36:AX36"/>
    <mergeCell ref="C25:AX25"/>
    <mergeCell ref="B26:AX26"/>
    <mergeCell ref="C27:AX27"/>
    <mergeCell ref="C28:AX28"/>
    <mergeCell ref="C29:AX29"/>
    <mergeCell ref="C30:AX30"/>
    <mergeCell ref="B31:AX31"/>
    <mergeCell ref="C32:AX32"/>
    <mergeCell ref="C33:AX33"/>
    <mergeCell ref="C34:AX34"/>
    <mergeCell ref="C35:AX35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</mergeCells>
  <pageMargins left="0.11811023622047245" right="0.11811023622047245" top="0" bottom="0" header="0.31496062992125984" footer="0.31496062992125984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H48"/>
  <sheetViews>
    <sheetView view="pageBreakPreview" zoomScaleNormal="71" zoomScaleSheetLayoutView="100" workbookViewId="0">
      <pane ySplit="8" topLeftCell="A9" activePane="bottomLeft" state="frozen"/>
      <selection pane="bottomLeft" activeCell="BC38" sqref="BC38"/>
    </sheetView>
  </sheetViews>
  <sheetFormatPr defaultRowHeight="10.15" customHeight="1"/>
  <cols>
    <col min="1" max="49" width="0.28515625" style="34" customWidth="1"/>
    <col min="50" max="50" width="10.5703125" style="34" customWidth="1"/>
    <col min="51" max="51" width="6.7109375" style="34" customWidth="1"/>
    <col min="52" max="52" width="8.7109375" style="34" customWidth="1"/>
    <col min="53" max="53" width="13.5703125" style="34" customWidth="1"/>
    <col min="54" max="54" width="13.42578125" style="34" customWidth="1"/>
    <col min="55" max="55" width="15.140625" style="34" customWidth="1"/>
    <col min="56" max="56" width="12.140625" style="34" customWidth="1"/>
    <col min="57" max="57" width="11.140625" style="34" customWidth="1"/>
    <col min="58" max="58" width="9.7109375" style="34" customWidth="1"/>
    <col min="59" max="59" width="13.42578125" style="34" bestFit="1" customWidth="1"/>
    <col min="60" max="16384" width="9.140625" style="34"/>
  </cols>
  <sheetData>
    <row r="1" spans="1:59" ht="12.75"/>
    <row r="2" spans="1:59" ht="21" customHeight="1">
      <c r="A2" s="213" t="s">
        <v>211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</row>
    <row r="3" spans="1:59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1"/>
      <c r="BD3" s="1"/>
      <c r="BE3" s="1"/>
      <c r="BF3" s="1"/>
    </row>
    <row r="4" spans="1:59" ht="12.75" customHeight="1">
      <c r="A4" s="220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2"/>
      <c r="AY4" s="229" t="s">
        <v>1</v>
      </c>
      <c r="AZ4" s="229" t="s">
        <v>2</v>
      </c>
      <c r="BA4" s="214" t="s">
        <v>3</v>
      </c>
      <c r="BB4" s="215"/>
      <c r="BC4" s="215"/>
      <c r="BD4" s="215"/>
      <c r="BE4" s="215"/>
      <c r="BF4" s="215"/>
    </row>
    <row r="5" spans="1:59" ht="12.75" customHeigh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5"/>
      <c r="AY5" s="230"/>
      <c r="AZ5" s="230"/>
      <c r="BA5" s="262" t="s">
        <v>30</v>
      </c>
      <c r="BB5" s="231" t="s">
        <v>4</v>
      </c>
      <c r="BC5" s="231"/>
      <c r="BD5" s="231"/>
      <c r="BE5" s="231"/>
      <c r="BF5" s="231"/>
    </row>
    <row r="6" spans="1:59" ht="61.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5"/>
      <c r="AY6" s="230"/>
      <c r="AZ6" s="230"/>
      <c r="BA6" s="230"/>
      <c r="BB6" s="217" t="s">
        <v>5</v>
      </c>
      <c r="BC6" s="217" t="s">
        <v>6</v>
      </c>
      <c r="BD6" s="217" t="s">
        <v>7</v>
      </c>
      <c r="BE6" s="217" t="s">
        <v>8</v>
      </c>
      <c r="BF6" s="217"/>
    </row>
    <row r="7" spans="1:59" ht="26.25" customHeight="1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8"/>
      <c r="AY7" s="231"/>
      <c r="AZ7" s="231"/>
      <c r="BA7" s="231"/>
      <c r="BB7" s="217"/>
      <c r="BC7" s="217"/>
      <c r="BD7" s="217"/>
      <c r="BE7" s="38" t="s">
        <v>9</v>
      </c>
      <c r="BF7" s="38" t="s">
        <v>10</v>
      </c>
    </row>
    <row r="8" spans="1:59" ht="11.1" customHeight="1">
      <c r="A8" s="214">
        <v>1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6"/>
      <c r="AY8" s="2">
        <v>2</v>
      </c>
      <c r="AZ8" s="39">
        <v>3</v>
      </c>
      <c r="BA8" s="39">
        <v>4</v>
      </c>
      <c r="BB8" s="39">
        <v>5</v>
      </c>
      <c r="BC8" s="39">
        <v>6</v>
      </c>
      <c r="BD8" s="39">
        <v>7</v>
      </c>
      <c r="BE8" s="38">
        <v>8</v>
      </c>
      <c r="BF8" s="38">
        <v>9</v>
      </c>
    </row>
    <row r="9" spans="1:59" ht="23.25" customHeight="1">
      <c r="A9" s="3"/>
      <c r="B9" s="263" t="s">
        <v>31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9"/>
      <c r="AY9" s="12">
        <v>100</v>
      </c>
      <c r="AZ9" s="13" t="s">
        <v>32</v>
      </c>
      <c r="BA9" s="93">
        <f>BA10+BA12+BA13+BA14+BA15+BA16+BA17</f>
        <v>14803852</v>
      </c>
      <c r="BB9" s="93">
        <f>BB12</f>
        <v>14015691</v>
      </c>
      <c r="BC9" s="93">
        <f>BC15</f>
        <v>52161</v>
      </c>
      <c r="BD9" s="93">
        <f>BD15</f>
        <v>0</v>
      </c>
      <c r="BE9" s="93">
        <f>BE10+BE12+BE13+BE14+BE16+BE17</f>
        <v>736000</v>
      </c>
      <c r="BF9" s="93">
        <f>BF12+BF16</f>
        <v>0</v>
      </c>
      <c r="BG9" s="92">
        <f>BA9+BA47-BA19</f>
        <v>0</v>
      </c>
    </row>
    <row r="10" spans="1:59" ht="21.75" customHeight="1">
      <c r="A10" s="5"/>
      <c r="B10" s="261" t="s">
        <v>58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200"/>
      <c r="AY10" s="8">
        <v>110</v>
      </c>
      <c r="AZ10" s="9" t="s">
        <v>13</v>
      </c>
      <c r="BA10" s="90">
        <f>BE10</f>
        <v>140000</v>
      </c>
      <c r="BB10" s="89" t="s">
        <v>32</v>
      </c>
      <c r="BC10" s="89" t="s">
        <v>32</v>
      </c>
      <c r="BD10" s="89" t="s">
        <v>32</v>
      </c>
      <c r="BE10" s="90">
        <v>140000</v>
      </c>
      <c r="BF10" s="89" t="s">
        <v>32</v>
      </c>
      <c r="BG10" s="10" t="s">
        <v>33</v>
      </c>
    </row>
    <row r="11" spans="1:59" ht="13.5" customHeight="1">
      <c r="A11" s="5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200"/>
      <c r="AY11" s="8"/>
      <c r="AZ11" s="4"/>
      <c r="BA11" s="90"/>
      <c r="BB11" s="90"/>
      <c r="BC11" s="90"/>
      <c r="BD11" s="90"/>
      <c r="BE11" s="90"/>
      <c r="BF11" s="90"/>
    </row>
    <row r="12" spans="1:59" ht="12.75">
      <c r="A12" s="5"/>
      <c r="B12" s="261" t="s">
        <v>37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200"/>
      <c r="AY12" s="8">
        <v>120</v>
      </c>
      <c r="AZ12" s="9" t="s">
        <v>15</v>
      </c>
      <c r="BA12" s="90">
        <f>BB12+BE12+BF12</f>
        <v>14450691</v>
      </c>
      <c r="BB12" s="90">
        <f>14053071-37380</f>
        <v>14015691</v>
      </c>
      <c r="BC12" s="89" t="s">
        <v>32</v>
      </c>
      <c r="BD12" s="89" t="s">
        <v>32</v>
      </c>
      <c r="BE12" s="90">
        <f>390000+45000</f>
        <v>435000</v>
      </c>
      <c r="BF12" s="90">
        <v>0</v>
      </c>
      <c r="BG12" s="10" t="s">
        <v>42</v>
      </c>
    </row>
    <row r="13" spans="1:59" ht="24" customHeight="1">
      <c r="A13" s="5"/>
      <c r="B13" s="261" t="s">
        <v>36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200"/>
      <c r="AY13" s="8">
        <v>130</v>
      </c>
      <c r="AZ13" s="4" t="s">
        <v>14</v>
      </c>
      <c r="BA13" s="90">
        <f>BE13</f>
        <v>6000</v>
      </c>
      <c r="BB13" s="89" t="s">
        <v>32</v>
      </c>
      <c r="BC13" s="89" t="s">
        <v>32</v>
      </c>
      <c r="BD13" s="89" t="s">
        <v>32</v>
      </c>
      <c r="BE13" s="89">
        <v>6000</v>
      </c>
      <c r="BF13" s="89" t="s">
        <v>32</v>
      </c>
      <c r="BG13" s="10" t="s">
        <v>34</v>
      </c>
    </row>
    <row r="14" spans="1:59" ht="56.25" customHeight="1">
      <c r="A14" s="5"/>
      <c r="B14" s="261" t="s">
        <v>35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200"/>
      <c r="AY14" s="8">
        <v>140</v>
      </c>
      <c r="AZ14" s="9" t="s">
        <v>43</v>
      </c>
      <c r="BA14" s="90">
        <f>BE14</f>
        <v>0</v>
      </c>
      <c r="BB14" s="89" t="s">
        <v>32</v>
      </c>
      <c r="BC14" s="89" t="s">
        <v>32</v>
      </c>
      <c r="BD14" s="89" t="s">
        <v>32</v>
      </c>
      <c r="BE14" s="89">
        <v>0</v>
      </c>
      <c r="BF14" s="89" t="s">
        <v>32</v>
      </c>
    </row>
    <row r="15" spans="1:59" ht="26.25" customHeight="1">
      <c r="A15" s="5"/>
      <c r="B15" s="261" t="s">
        <v>38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200"/>
      <c r="AY15" s="8">
        <v>150</v>
      </c>
      <c r="AZ15" s="9" t="s">
        <v>12</v>
      </c>
      <c r="BA15" s="90">
        <f>BC15+BD15</f>
        <v>52161</v>
      </c>
      <c r="BB15" s="89" t="s">
        <v>32</v>
      </c>
      <c r="BC15" s="90">
        <f>14781+37380</f>
        <v>52161</v>
      </c>
      <c r="BD15" s="90">
        <v>0</v>
      </c>
      <c r="BE15" s="89" t="s">
        <v>32</v>
      </c>
      <c r="BF15" s="89" t="s">
        <v>32</v>
      </c>
      <c r="BG15" s="10" t="s">
        <v>44</v>
      </c>
    </row>
    <row r="16" spans="1:59" ht="13.5" customHeight="1">
      <c r="A16" s="5"/>
      <c r="B16" s="261" t="s">
        <v>39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200"/>
      <c r="AY16" s="8">
        <v>160</v>
      </c>
      <c r="AZ16" s="4" t="s">
        <v>12</v>
      </c>
      <c r="BA16" s="90">
        <f>BE16</f>
        <v>155000</v>
      </c>
      <c r="BB16" s="89" t="s">
        <v>32</v>
      </c>
      <c r="BC16" s="89" t="s">
        <v>32</v>
      </c>
      <c r="BD16" s="89" t="s">
        <v>32</v>
      </c>
      <c r="BE16" s="90">
        <f>60000+95000</f>
        <v>155000</v>
      </c>
      <c r="BF16" s="90">
        <v>0</v>
      </c>
      <c r="BG16" s="10" t="s">
        <v>40</v>
      </c>
    </row>
    <row r="17" spans="1:60" ht="18" customHeight="1">
      <c r="A17" s="5"/>
      <c r="B17" s="261" t="s">
        <v>41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200"/>
      <c r="AY17" s="8">
        <v>180</v>
      </c>
      <c r="AZ17" s="9" t="s">
        <v>59</v>
      </c>
      <c r="BA17" s="90">
        <f>BE17</f>
        <v>0</v>
      </c>
      <c r="BB17" s="89" t="s">
        <v>32</v>
      </c>
      <c r="BC17" s="89" t="s">
        <v>32</v>
      </c>
      <c r="BD17" s="89" t="s">
        <v>32</v>
      </c>
      <c r="BE17" s="90">
        <v>0</v>
      </c>
      <c r="BF17" s="89">
        <v>0</v>
      </c>
    </row>
    <row r="18" spans="1:60" ht="12" customHeight="1">
      <c r="A18" s="11"/>
      <c r="B18" s="261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200"/>
      <c r="AY18" s="8"/>
      <c r="AZ18" s="9"/>
      <c r="BA18" s="90"/>
      <c r="BB18" s="89"/>
      <c r="BC18" s="89"/>
      <c r="BD18" s="89"/>
      <c r="BE18" s="90"/>
      <c r="BF18" s="90"/>
    </row>
    <row r="19" spans="1:60" ht="25.5" customHeight="1">
      <c r="A19" s="3"/>
      <c r="B19" s="263" t="s">
        <v>45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9"/>
      <c r="AY19" s="12">
        <v>200</v>
      </c>
      <c r="AZ19" s="13" t="s">
        <v>32</v>
      </c>
      <c r="BA19" s="93">
        <f>BA20+BA26+BA29+BA34+BA36+BA37</f>
        <v>14803852</v>
      </c>
      <c r="BB19" s="93">
        <f>BB20+BB26+BB29+BB34+BB36+BB37</f>
        <v>14015691</v>
      </c>
      <c r="BC19" s="93">
        <f t="shared" ref="BC19:BE19" si="0">BC20+BC26+BC29+BC34+BC36+BC37</f>
        <v>52161</v>
      </c>
      <c r="BD19" s="93">
        <f t="shared" si="0"/>
        <v>0</v>
      </c>
      <c r="BE19" s="93">
        <f t="shared" si="0"/>
        <v>736000</v>
      </c>
      <c r="BF19" s="93">
        <f>BF20+BF26+BF29+BF34+BF36+BF37</f>
        <v>0</v>
      </c>
      <c r="BG19" s="97"/>
      <c r="BH19" s="43"/>
    </row>
    <row r="20" spans="1:60" ht="36" customHeight="1">
      <c r="A20" s="5"/>
      <c r="B20" s="264" t="s">
        <v>46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3"/>
      <c r="AY20" s="14">
        <v>210</v>
      </c>
      <c r="AZ20" s="16"/>
      <c r="BA20" s="94">
        <f>BA21+BA24+BA25</f>
        <v>11292389</v>
      </c>
      <c r="BB20" s="94">
        <f t="shared" ref="BB20:BF20" si="1">BB21+BB24+BB25</f>
        <v>11021608</v>
      </c>
      <c r="BC20" s="94">
        <f t="shared" si="1"/>
        <v>14781</v>
      </c>
      <c r="BD20" s="94">
        <f t="shared" si="1"/>
        <v>0</v>
      </c>
      <c r="BE20" s="94">
        <f t="shared" si="1"/>
        <v>256000</v>
      </c>
      <c r="BF20" s="94">
        <f t="shared" si="1"/>
        <v>0</v>
      </c>
    </row>
    <row r="21" spans="1:60" ht="35.25" customHeight="1">
      <c r="A21" s="5"/>
      <c r="B21" s="264" t="s">
        <v>47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3"/>
      <c r="AY21" s="14">
        <v>211</v>
      </c>
      <c r="AZ21" s="15"/>
      <c r="BA21" s="94">
        <f>BA22+BA23</f>
        <v>11085108</v>
      </c>
      <c r="BB21" s="94">
        <f t="shared" ref="BB21:BF21" si="2">BB22+BB23</f>
        <v>10876108</v>
      </c>
      <c r="BC21" s="94">
        <f t="shared" si="2"/>
        <v>0</v>
      </c>
      <c r="BD21" s="94">
        <f t="shared" si="2"/>
        <v>0</v>
      </c>
      <c r="BE21" s="94">
        <f>BE22+BE23</f>
        <v>209000</v>
      </c>
      <c r="BF21" s="94">
        <f t="shared" si="2"/>
        <v>0</v>
      </c>
    </row>
    <row r="22" spans="1:60" ht="12.75">
      <c r="A22" s="6"/>
      <c r="B22" s="7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200"/>
      <c r="AY22" s="8"/>
      <c r="AZ22" s="9" t="s">
        <v>19</v>
      </c>
      <c r="BA22" s="90">
        <f>BB22+BC22+BD22+BE22</f>
        <v>8558462</v>
      </c>
      <c r="BB22" s="90">
        <v>8398462</v>
      </c>
      <c r="BC22" s="90">
        <v>0</v>
      </c>
      <c r="BD22" s="90">
        <v>0</v>
      </c>
      <c r="BE22" s="90">
        <v>160000</v>
      </c>
      <c r="BF22" s="90">
        <v>0</v>
      </c>
    </row>
    <row r="23" spans="1:60" ht="12.75">
      <c r="A23" s="35"/>
      <c r="B23" s="36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200"/>
      <c r="AY23" s="8"/>
      <c r="AZ23" s="9" t="s">
        <v>20</v>
      </c>
      <c r="BA23" s="90">
        <f>BB23+BC23+BD23+BE23</f>
        <v>2526646</v>
      </c>
      <c r="BB23" s="90">
        <v>2477646</v>
      </c>
      <c r="BC23" s="90">
        <v>0</v>
      </c>
      <c r="BD23" s="90">
        <v>0</v>
      </c>
      <c r="BE23" s="90">
        <v>49000</v>
      </c>
      <c r="BF23" s="90">
        <v>0</v>
      </c>
    </row>
    <row r="24" spans="1:60" ht="12.75">
      <c r="A24" s="35"/>
      <c r="B24" s="36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200"/>
      <c r="AY24" s="8"/>
      <c r="AZ24" s="9" t="s">
        <v>18</v>
      </c>
      <c r="BA24" s="90">
        <f>BB24+BC24+BD24+BE24</f>
        <v>64883</v>
      </c>
      <c r="BB24" s="90">
        <v>18102</v>
      </c>
      <c r="BC24" s="90">
        <v>14781</v>
      </c>
      <c r="BD24" s="90">
        <v>0</v>
      </c>
      <c r="BE24" s="90">
        <v>32000</v>
      </c>
      <c r="BF24" s="90">
        <v>0</v>
      </c>
    </row>
    <row r="25" spans="1:60" ht="12.75">
      <c r="A25" s="35"/>
      <c r="B25" s="36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200"/>
      <c r="AY25" s="8"/>
      <c r="AZ25" s="9" t="s">
        <v>24</v>
      </c>
      <c r="BA25" s="90">
        <f>BB25+BC25+BD25+BE25</f>
        <v>142398</v>
      </c>
      <c r="BB25" s="90">
        <v>127398</v>
      </c>
      <c r="BC25" s="90">
        <v>0</v>
      </c>
      <c r="BD25" s="90">
        <v>0</v>
      </c>
      <c r="BE25" s="90">
        <v>15000</v>
      </c>
      <c r="BF25" s="90">
        <v>0</v>
      </c>
    </row>
    <row r="26" spans="1:60" ht="33" customHeight="1">
      <c r="A26" s="5"/>
      <c r="B26" s="264" t="s">
        <v>48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3"/>
      <c r="AY26" s="14">
        <v>220</v>
      </c>
      <c r="AZ26" s="16"/>
      <c r="BA26" s="94">
        <f>BA28</f>
        <v>0</v>
      </c>
      <c r="BB26" s="94">
        <f t="shared" ref="BB26:BF26" si="3">BB28</f>
        <v>0</v>
      </c>
      <c r="BC26" s="94">
        <f t="shared" si="3"/>
        <v>0</v>
      </c>
      <c r="BD26" s="94">
        <f t="shared" si="3"/>
        <v>0</v>
      </c>
      <c r="BE26" s="94">
        <f t="shared" si="3"/>
        <v>0</v>
      </c>
      <c r="BF26" s="94">
        <f t="shared" si="3"/>
        <v>0</v>
      </c>
    </row>
    <row r="27" spans="1:60" ht="12.75">
      <c r="A27" s="6"/>
      <c r="B27" s="7"/>
      <c r="C27" s="199" t="s">
        <v>16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200"/>
      <c r="AY27" s="8"/>
      <c r="AZ27" s="4"/>
      <c r="BA27" s="90"/>
      <c r="BB27" s="90"/>
      <c r="BC27" s="90"/>
      <c r="BD27" s="90"/>
      <c r="BE27" s="90"/>
      <c r="BF27" s="90"/>
    </row>
    <row r="28" spans="1:60" ht="12.75">
      <c r="A28" s="35"/>
      <c r="B28" s="36"/>
      <c r="C28" s="261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200"/>
      <c r="AY28" s="8"/>
      <c r="AZ28" s="9" t="s">
        <v>21</v>
      </c>
      <c r="BA28" s="90">
        <f>BB28+BC28+BD28+BE28</f>
        <v>0</v>
      </c>
      <c r="BB28" s="90">
        <v>0</v>
      </c>
      <c r="BC28" s="90">
        <v>0</v>
      </c>
      <c r="BD28" s="90">
        <v>0</v>
      </c>
      <c r="BE28" s="90">
        <v>0</v>
      </c>
      <c r="BF28" s="90">
        <v>0</v>
      </c>
    </row>
    <row r="29" spans="1:60" ht="21.95" customHeight="1">
      <c r="A29" s="35"/>
      <c r="B29" s="36"/>
      <c r="C29" s="264" t="s">
        <v>49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3"/>
      <c r="AY29" s="14">
        <v>230</v>
      </c>
      <c r="AZ29" s="16"/>
      <c r="BA29" s="94">
        <f>BA31+BA32+BA33</f>
        <v>407855</v>
      </c>
      <c r="BB29" s="94">
        <f>BB31+BB32+BB33</f>
        <v>403855</v>
      </c>
      <c r="BC29" s="94">
        <f t="shared" ref="BC29:BE29" si="4">BC31+BC32+BC33</f>
        <v>0</v>
      </c>
      <c r="BD29" s="94">
        <f t="shared" si="4"/>
        <v>0</v>
      </c>
      <c r="BE29" s="94">
        <f t="shared" si="4"/>
        <v>4000</v>
      </c>
      <c r="BF29" s="94">
        <f>BF31+BF32+BF33</f>
        <v>0</v>
      </c>
    </row>
    <row r="30" spans="1:60" ht="10.5" customHeight="1">
      <c r="A30" s="35"/>
      <c r="B30" s="36"/>
      <c r="C30" s="199" t="s">
        <v>16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200"/>
      <c r="AY30" s="8"/>
      <c r="AZ30" s="4"/>
      <c r="BA30" s="90"/>
      <c r="BB30" s="90"/>
      <c r="BC30" s="90"/>
      <c r="BD30" s="90"/>
      <c r="BE30" s="90"/>
      <c r="BF30" s="90"/>
    </row>
    <row r="31" spans="1:60" ht="12.75">
      <c r="A31" s="5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200"/>
      <c r="AY31" s="8"/>
      <c r="AZ31" s="9" t="s">
        <v>25</v>
      </c>
      <c r="BA31" s="90">
        <f>BB31+BC31+BD31+BE31</f>
        <v>364804</v>
      </c>
      <c r="BB31" s="90">
        <v>364804</v>
      </c>
      <c r="BC31" s="90">
        <v>0</v>
      </c>
      <c r="BD31" s="90"/>
      <c r="BE31" s="90">
        <v>0</v>
      </c>
      <c r="BF31" s="90">
        <v>0</v>
      </c>
    </row>
    <row r="32" spans="1:60" ht="12.75">
      <c r="A32" s="6"/>
      <c r="B32" s="7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200"/>
      <c r="AY32" s="8"/>
      <c r="AZ32" s="9" t="s">
        <v>22</v>
      </c>
      <c r="BA32" s="90">
        <f>BB32+BC32+BD32+BE32</f>
        <v>41051</v>
      </c>
      <c r="BB32" s="90">
        <f>36480+2571</f>
        <v>39051</v>
      </c>
      <c r="BC32" s="90">
        <v>0</v>
      </c>
      <c r="BD32" s="90"/>
      <c r="BE32" s="90">
        <v>2000</v>
      </c>
      <c r="BF32" s="90">
        <v>0</v>
      </c>
    </row>
    <row r="33" spans="1:59" ht="12.75">
      <c r="A33" s="35"/>
      <c r="B33" s="36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200"/>
      <c r="AY33" s="8"/>
      <c r="AZ33" s="9" t="s">
        <v>23</v>
      </c>
      <c r="BA33" s="90">
        <f t="shared" ref="BA33" si="5">BB33+BC33+BD33+BE33</f>
        <v>2000</v>
      </c>
      <c r="BB33" s="90"/>
      <c r="BC33" s="90">
        <v>0</v>
      </c>
      <c r="BD33" s="90"/>
      <c r="BE33" s="90">
        <v>2000</v>
      </c>
      <c r="BF33" s="90">
        <v>0</v>
      </c>
    </row>
    <row r="34" spans="1:59" ht="23.25" customHeight="1">
      <c r="A34" s="35"/>
      <c r="B34" s="36"/>
      <c r="C34" s="264" t="s">
        <v>50</v>
      </c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3"/>
      <c r="AY34" s="14">
        <v>240</v>
      </c>
      <c r="AZ34" s="16"/>
      <c r="BA34" s="94">
        <v>0</v>
      </c>
      <c r="BB34" s="94">
        <v>0</v>
      </c>
      <c r="BC34" s="94">
        <v>0</v>
      </c>
      <c r="BD34" s="94">
        <v>0</v>
      </c>
      <c r="BE34" s="94">
        <v>0</v>
      </c>
      <c r="BF34" s="94">
        <v>0</v>
      </c>
    </row>
    <row r="35" spans="1:59" ht="11.1" customHeight="1">
      <c r="A35" s="35"/>
      <c r="B35" s="36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200"/>
      <c r="AY35" s="8"/>
      <c r="AZ35" s="4"/>
      <c r="BA35" s="90"/>
      <c r="BB35" s="90"/>
      <c r="BC35" s="90"/>
      <c r="BD35" s="90"/>
      <c r="BE35" s="90"/>
      <c r="BF35" s="90"/>
    </row>
    <row r="36" spans="1:59" ht="23.25" customHeight="1">
      <c r="A36" s="35"/>
      <c r="B36" s="36"/>
      <c r="C36" s="264" t="s">
        <v>51</v>
      </c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3"/>
      <c r="AY36" s="14">
        <v>250</v>
      </c>
      <c r="AZ36" s="15" t="s">
        <v>61</v>
      </c>
      <c r="BA36" s="94">
        <f>BD36</f>
        <v>0</v>
      </c>
      <c r="BB36" s="94">
        <v>0</v>
      </c>
      <c r="BC36" s="94">
        <v>0</v>
      </c>
      <c r="BD36" s="94">
        <v>0</v>
      </c>
      <c r="BE36" s="94">
        <v>0</v>
      </c>
      <c r="BF36" s="94">
        <v>0</v>
      </c>
      <c r="BG36" s="10" t="s">
        <v>62</v>
      </c>
    </row>
    <row r="37" spans="1:59" ht="32.25" customHeight="1">
      <c r="A37" s="5"/>
      <c r="B37" s="264" t="s">
        <v>60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3"/>
      <c r="AY37" s="14">
        <v>260</v>
      </c>
      <c r="AZ37" s="15" t="s">
        <v>17</v>
      </c>
      <c r="BA37" s="94">
        <f>BB37+BC37+BD37+BE37</f>
        <v>3103608</v>
      </c>
      <c r="BB37" s="94">
        <f>13696+23684+137897+263621+180966+41794+831218+1084680+50052-37380</f>
        <v>2590228</v>
      </c>
      <c r="BC37" s="94">
        <v>37380</v>
      </c>
      <c r="BD37" s="94">
        <v>0</v>
      </c>
      <c r="BE37" s="94">
        <f>32000+25000+39000+5000+177000+86000+21000+91000</f>
        <v>476000</v>
      </c>
      <c r="BF37" s="94">
        <v>0</v>
      </c>
    </row>
    <row r="38" spans="1:59" ht="12.75">
      <c r="A38" s="6"/>
      <c r="B38" s="7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200"/>
      <c r="AY38" s="8"/>
      <c r="AZ38" s="4"/>
      <c r="BA38" s="90"/>
      <c r="BB38" s="90"/>
      <c r="BC38" s="90"/>
      <c r="BD38" s="90"/>
      <c r="BE38" s="90"/>
      <c r="BF38" s="90"/>
    </row>
    <row r="39" spans="1:59" ht="11.1" customHeight="1">
      <c r="A39" s="35"/>
      <c r="B39" s="36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200"/>
      <c r="AY39" s="8"/>
      <c r="AZ39" s="4"/>
      <c r="BA39" s="90"/>
      <c r="BB39" s="90"/>
      <c r="BC39" s="90"/>
      <c r="BD39" s="90"/>
      <c r="BE39" s="90"/>
      <c r="BF39" s="90"/>
    </row>
    <row r="40" spans="1:59" ht="22.5" customHeight="1">
      <c r="A40" s="5"/>
      <c r="B40" s="261" t="s">
        <v>52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200"/>
      <c r="AY40" s="8">
        <v>300</v>
      </c>
      <c r="AZ40" s="9" t="s">
        <v>32</v>
      </c>
      <c r="BA40" s="90">
        <f t="shared" ref="BA40:BA45" si="6">BB40+BC40+BD40+BF40</f>
        <v>0</v>
      </c>
      <c r="BB40" s="90">
        <v>0</v>
      </c>
      <c r="BC40" s="90">
        <v>0</v>
      </c>
      <c r="BD40" s="90">
        <v>0</v>
      </c>
      <c r="BE40" s="90">
        <v>0</v>
      </c>
      <c r="BF40" s="90">
        <v>0</v>
      </c>
    </row>
    <row r="41" spans="1:59" ht="25.5" customHeight="1">
      <c r="A41" s="6"/>
      <c r="B41" s="7"/>
      <c r="C41" s="261" t="s">
        <v>53</v>
      </c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200"/>
      <c r="AY41" s="8">
        <v>310</v>
      </c>
      <c r="AZ41" s="4"/>
      <c r="BA41" s="90">
        <f t="shared" si="6"/>
        <v>0</v>
      </c>
      <c r="BB41" s="90">
        <v>0</v>
      </c>
      <c r="BC41" s="90">
        <v>0</v>
      </c>
      <c r="BD41" s="90">
        <v>0</v>
      </c>
      <c r="BE41" s="90">
        <v>0</v>
      </c>
      <c r="BF41" s="90">
        <v>0</v>
      </c>
    </row>
    <row r="42" spans="1:59" ht="14.25" customHeight="1">
      <c r="A42" s="35"/>
      <c r="B42" s="36"/>
      <c r="C42" s="261" t="s">
        <v>54</v>
      </c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6"/>
      <c r="AY42" s="8">
        <v>320</v>
      </c>
      <c r="AZ42" s="4"/>
      <c r="BA42" s="90">
        <f t="shared" si="6"/>
        <v>0</v>
      </c>
      <c r="BB42" s="90">
        <v>0</v>
      </c>
      <c r="BC42" s="90">
        <v>0</v>
      </c>
      <c r="BD42" s="90">
        <v>0</v>
      </c>
      <c r="BE42" s="90">
        <v>0</v>
      </c>
      <c r="BF42" s="90">
        <v>0</v>
      </c>
    </row>
    <row r="43" spans="1:59" ht="21.95" customHeight="1">
      <c r="A43" s="35"/>
      <c r="B43" s="36"/>
      <c r="C43" s="261" t="s">
        <v>55</v>
      </c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6"/>
      <c r="AY43" s="8">
        <v>400</v>
      </c>
      <c r="AZ43" s="4"/>
      <c r="BA43" s="90">
        <f t="shared" si="6"/>
        <v>0</v>
      </c>
      <c r="BB43" s="90">
        <v>0</v>
      </c>
      <c r="BC43" s="90">
        <v>0</v>
      </c>
      <c r="BD43" s="90">
        <v>0</v>
      </c>
      <c r="BE43" s="90">
        <v>0</v>
      </c>
      <c r="BF43" s="90">
        <v>0</v>
      </c>
    </row>
    <row r="44" spans="1:59" ht="21.95" customHeight="1">
      <c r="A44" s="35"/>
      <c r="B44" s="36"/>
      <c r="C44" s="261" t="s">
        <v>56</v>
      </c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6"/>
      <c r="AY44" s="8">
        <v>410</v>
      </c>
      <c r="AZ44" s="4"/>
      <c r="BA44" s="90">
        <f t="shared" si="6"/>
        <v>0</v>
      </c>
      <c r="BB44" s="90">
        <v>0</v>
      </c>
      <c r="BC44" s="90">
        <v>0</v>
      </c>
      <c r="BD44" s="90">
        <v>0</v>
      </c>
      <c r="BE44" s="90">
        <v>0</v>
      </c>
      <c r="BF44" s="90">
        <v>0</v>
      </c>
    </row>
    <row r="45" spans="1:59" ht="12" customHeight="1">
      <c r="A45" s="35"/>
      <c r="B45" s="36"/>
      <c r="C45" s="261" t="s">
        <v>57</v>
      </c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6"/>
      <c r="AY45" s="8">
        <v>420</v>
      </c>
      <c r="AZ45" s="4"/>
      <c r="BA45" s="90">
        <f t="shared" si="6"/>
        <v>0</v>
      </c>
      <c r="BB45" s="90">
        <v>0</v>
      </c>
      <c r="BC45" s="90">
        <v>0</v>
      </c>
      <c r="BD45" s="90">
        <v>0</v>
      </c>
      <c r="BE45" s="90">
        <v>0</v>
      </c>
      <c r="BF45" s="90">
        <v>0</v>
      </c>
    </row>
    <row r="46" spans="1:59" ht="11.1" customHeight="1">
      <c r="A46" s="35"/>
      <c r="B46" s="201" t="s">
        <v>26</v>
      </c>
      <c r="C46" s="202" t="s">
        <v>11</v>
      </c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3"/>
      <c r="AY46" s="14" t="s">
        <v>27</v>
      </c>
      <c r="AZ46" s="15" t="s">
        <v>32</v>
      </c>
      <c r="BA46" s="94">
        <f>BB46+BC46+BD46+BE46</f>
        <v>0</v>
      </c>
      <c r="BB46" s="94">
        <v>0</v>
      </c>
      <c r="BC46" s="94">
        <v>0</v>
      </c>
      <c r="BD46" s="94">
        <v>0</v>
      </c>
      <c r="BE46" s="94">
        <v>0</v>
      </c>
      <c r="BF46" s="94">
        <v>0</v>
      </c>
    </row>
    <row r="47" spans="1:59" ht="10.5" customHeight="1">
      <c r="A47" s="35"/>
      <c r="B47" s="267" t="s">
        <v>28</v>
      </c>
      <c r="C47" s="199" t="s">
        <v>11</v>
      </c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200"/>
      <c r="AY47" s="8" t="s">
        <v>29</v>
      </c>
      <c r="AZ47" s="9" t="s">
        <v>32</v>
      </c>
      <c r="BA47" s="90">
        <f>BB47+BC47+BD47+BF47</f>
        <v>0</v>
      </c>
      <c r="BB47" s="90">
        <v>0</v>
      </c>
      <c r="BC47" s="90">
        <v>0</v>
      </c>
      <c r="BD47" s="90">
        <v>0</v>
      </c>
      <c r="BE47" s="90">
        <v>0</v>
      </c>
      <c r="BF47" s="90">
        <v>0</v>
      </c>
    </row>
    <row r="48" spans="1:59" ht="42" customHeight="1">
      <c r="A48" s="265" t="s">
        <v>63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BA48" s="17">
        <f>BA19-BA9-BA46</f>
        <v>0</v>
      </c>
      <c r="BB48" s="17">
        <f t="shared" ref="BB48:BF48" si="7">BB19-BB9-BB46</f>
        <v>0</v>
      </c>
      <c r="BC48" s="17">
        <f t="shared" si="7"/>
        <v>0</v>
      </c>
      <c r="BD48" s="17">
        <f t="shared" si="7"/>
        <v>0</v>
      </c>
      <c r="BE48" s="17">
        <f t="shared" si="7"/>
        <v>0</v>
      </c>
      <c r="BF48" s="17">
        <f t="shared" si="7"/>
        <v>0</v>
      </c>
    </row>
  </sheetData>
  <mergeCells count="52">
    <mergeCell ref="A48:AX48"/>
    <mergeCell ref="B37:AX37"/>
    <mergeCell ref="C38:AX38"/>
    <mergeCell ref="C39:AX39"/>
    <mergeCell ref="B40:AX40"/>
    <mergeCell ref="C41:AX41"/>
    <mergeCell ref="C42:AX42"/>
    <mergeCell ref="C43:AX43"/>
    <mergeCell ref="C44:AX44"/>
    <mergeCell ref="C45:AX45"/>
    <mergeCell ref="B46:AX46"/>
    <mergeCell ref="B47:AX47"/>
    <mergeCell ref="C36:AX36"/>
    <mergeCell ref="C25:AX25"/>
    <mergeCell ref="B26:AX26"/>
    <mergeCell ref="C27:AX27"/>
    <mergeCell ref="C28:AX28"/>
    <mergeCell ref="C29:AX29"/>
    <mergeCell ref="C30:AX30"/>
    <mergeCell ref="B31:AX31"/>
    <mergeCell ref="C32:AX32"/>
    <mergeCell ref="C33:AX33"/>
    <mergeCell ref="C34:AX34"/>
    <mergeCell ref="C35:AX35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</mergeCells>
  <pageMargins left="0.11811023622047245" right="0.11811023622047245" top="0" bottom="0" header="0.31496062992125984" footer="0.31496062992125984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view="pageBreakPreview" topLeftCell="A4" zoomScale="60" zoomScaleNormal="55" workbookViewId="0">
      <selection activeCell="E25" sqref="E25"/>
    </sheetView>
  </sheetViews>
  <sheetFormatPr defaultRowHeight="18"/>
  <cols>
    <col min="1" max="1" width="36.1406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2" width="10.85546875" customWidth="1"/>
    <col min="13" max="13" width="92.28515625" style="87" customWidth="1"/>
  </cols>
  <sheetData>
    <row r="1" spans="1:13" ht="18.75">
      <c r="A1" s="197" t="s">
        <v>105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3" ht="18.75">
      <c r="A2" s="197" t="s">
        <v>106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3" ht="18.75">
      <c r="A3" s="197" t="s">
        <v>213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3" ht="18.75">
      <c r="A4" s="60"/>
    </row>
    <row r="5" spans="1:13" ht="18.75">
      <c r="A5" s="60"/>
    </row>
    <row r="6" spans="1:13" ht="15.75" customHeight="1">
      <c r="A6" s="268" t="s">
        <v>107</v>
      </c>
      <c r="B6" s="268" t="s">
        <v>108</v>
      </c>
      <c r="C6" s="268" t="s">
        <v>109</v>
      </c>
      <c r="D6" s="268" t="s">
        <v>110</v>
      </c>
      <c r="E6" s="268"/>
      <c r="F6" s="268"/>
      <c r="G6" s="268"/>
      <c r="H6" s="268"/>
      <c r="I6" s="268"/>
      <c r="J6" s="268"/>
      <c r="K6" s="268"/>
      <c r="L6" s="268"/>
    </row>
    <row r="7" spans="1:13">
      <c r="A7" s="268"/>
      <c r="B7" s="268"/>
      <c r="C7" s="268"/>
      <c r="D7" s="268" t="s">
        <v>111</v>
      </c>
      <c r="E7" s="268"/>
      <c r="F7" s="268"/>
      <c r="G7" s="268"/>
      <c r="H7" s="268"/>
      <c r="I7" s="268"/>
      <c r="J7" s="268"/>
      <c r="K7" s="268"/>
      <c r="L7" s="268"/>
    </row>
    <row r="8" spans="1:13">
      <c r="A8" s="268"/>
      <c r="B8" s="268"/>
      <c r="C8" s="268"/>
      <c r="D8" s="268" t="s">
        <v>112</v>
      </c>
      <c r="E8" s="268"/>
      <c r="F8" s="268"/>
      <c r="G8" s="268" t="s">
        <v>4</v>
      </c>
      <c r="H8" s="268"/>
      <c r="I8" s="268"/>
      <c r="J8" s="268"/>
      <c r="K8" s="268"/>
      <c r="L8" s="268"/>
    </row>
    <row r="9" spans="1:13" ht="102" customHeight="1">
      <c r="A9" s="268"/>
      <c r="B9" s="268"/>
      <c r="C9" s="268"/>
      <c r="D9" s="268"/>
      <c r="E9" s="268"/>
      <c r="F9" s="268"/>
      <c r="G9" s="269" t="s">
        <v>113</v>
      </c>
      <c r="H9" s="269"/>
      <c r="I9" s="269"/>
      <c r="J9" s="269" t="s">
        <v>114</v>
      </c>
      <c r="K9" s="269"/>
      <c r="L9" s="269"/>
    </row>
    <row r="10" spans="1:13" ht="118.5" customHeight="1">
      <c r="A10" s="268"/>
      <c r="B10" s="268"/>
      <c r="C10" s="268"/>
      <c r="D10" s="115" t="s">
        <v>215</v>
      </c>
      <c r="E10" s="115" t="s">
        <v>216</v>
      </c>
      <c r="F10" s="115" t="s">
        <v>217</v>
      </c>
      <c r="G10" s="115" t="s">
        <v>215</v>
      </c>
      <c r="H10" s="115" t="s">
        <v>216</v>
      </c>
      <c r="I10" s="115" t="s">
        <v>217</v>
      </c>
      <c r="J10" s="115" t="s">
        <v>215</v>
      </c>
      <c r="K10" s="115" t="s">
        <v>216</v>
      </c>
      <c r="L10" s="115" t="s">
        <v>217</v>
      </c>
      <c r="M10" s="87" t="s">
        <v>159</v>
      </c>
    </row>
    <row r="11" spans="1:13">
      <c r="A11" s="70">
        <v>1</v>
      </c>
      <c r="B11" s="70">
        <v>2</v>
      </c>
      <c r="C11" s="70">
        <v>3</v>
      </c>
      <c r="D11" s="115">
        <v>4</v>
      </c>
      <c r="E11" s="70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</row>
    <row r="12" spans="1:13" ht="36.75" customHeight="1">
      <c r="A12" s="64" t="s">
        <v>115</v>
      </c>
      <c r="B12" s="71">
        <v>1</v>
      </c>
      <c r="C12" s="71" t="s">
        <v>116</v>
      </c>
      <c r="D12" s="96">
        <f>SUM(D14:D21)</f>
        <v>3942224.4899999998</v>
      </c>
      <c r="E12" s="96">
        <f>E14+E15+E16+E17+E18+E19+E20+E21</f>
        <v>3202608</v>
      </c>
      <c r="F12" s="96">
        <f>F14+F15+F16+F17+F18+F19+F20+F21</f>
        <v>3103608</v>
      </c>
      <c r="G12" s="96">
        <f>SUM(G14:G21)</f>
        <v>3942224.4899999998</v>
      </c>
      <c r="H12" s="96">
        <f>E12</f>
        <v>3202608</v>
      </c>
      <c r="I12" s="96">
        <f>F12</f>
        <v>3103608</v>
      </c>
      <c r="J12" s="96">
        <v>0</v>
      </c>
      <c r="K12" s="96">
        <v>0</v>
      </c>
      <c r="L12" s="96">
        <v>0</v>
      </c>
      <c r="M12" s="88"/>
    </row>
    <row r="13" spans="1:13" ht="72" customHeight="1">
      <c r="A13" s="64" t="s">
        <v>117</v>
      </c>
      <c r="B13" s="71">
        <v>1001</v>
      </c>
      <c r="C13" s="71" t="s">
        <v>116</v>
      </c>
      <c r="D13" s="96"/>
      <c r="E13" s="96"/>
      <c r="F13" s="96"/>
      <c r="G13" s="96"/>
      <c r="H13" s="96"/>
      <c r="I13" s="96"/>
      <c r="J13" s="96"/>
      <c r="K13" s="96"/>
      <c r="L13" s="96"/>
      <c r="M13" s="98"/>
    </row>
    <row r="14" spans="1:13" s="34" customFormat="1" ht="23.25" customHeight="1">
      <c r="A14" s="64" t="s">
        <v>150</v>
      </c>
      <c r="B14" s="71"/>
      <c r="C14" s="71"/>
      <c r="D14" s="96">
        <f>'3 с разбивкой утв'!BK79</f>
        <v>82267.12</v>
      </c>
      <c r="E14" s="96">
        <f>50052+32000</f>
        <v>82052</v>
      </c>
      <c r="F14" s="96">
        <f>50052+32000</f>
        <v>82052</v>
      </c>
      <c r="G14" s="96">
        <f t="shared" ref="G14:G21" si="0">D14</f>
        <v>82267.12</v>
      </c>
      <c r="H14" s="96">
        <f t="shared" ref="H14:I21" si="1">E14</f>
        <v>82052</v>
      </c>
      <c r="I14" s="96">
        <f t="shared" si="1"/>
        <v>82052</v>
      </c>
      <c r="J14" s="96">
        <v>0</v>
      </c>
      <c r="K14" s="96">
        <v>0</v>
      </c>
      <c r="L14" s="96">
        <v>0</v>
      </c>
      <c r="M14" s="98"/>
    </row>
    <row r="15" spans="1:13" s="34" customFormat="1" ht="36.75" customHeight="1">
      <c r="A15" s="64" t="s">
        <v>158</v>
      </c>
      <c r="B15" s="71"/>
      <c r="C15" s="71"/>
      <c r="D15" s="96">
        <f>'3 с разбивкой утв'!BK80</f>
        <v>24300</v>
      </c>
      <c r="E15" s="96">
        <v>0</v>
      </c>
      <c r="F15" s="96">
        <v>0</v>
      </c>
      <c r="G15" s="96">
        <f t="shared" si="0"/>
        <v>24300</v>
      </c>
      <c r="H15" s="96">
        <f t="shared" si="1"/>
        <v>0</v>
      </c>
      <c r="I15" s="96">
        <f t="shared" si="1"/>
        <v>0</v>
      </c>
      <c r="J15" s="96">
        <v>0</v>
      </c>
      <c r="K15" s="96">
        <v>0</v>
      </c>
      <c r="L15" s="96">
        <v>0</v>
      </c>
      <c r="M15" s="98"/>
    </row>
    <row r="16" spans="1:13" s="34" customFormat="1" ht="36.75" customHeight="1">
      <c r="A16" s="64" t="s">
        <v>151</v>
      </c>
      <c r="B16" s="71"/>
      <c r="C16" s="71"/>
      <c r="D16" s="96">
        <f>'3 с разбивкой утв'!BK81</f>
        <v>2885759.26</v>
      </c>
      <c r="E16" s="96">
        <f>1957692+69000</f>
        <v>2026692</v>
      </c>
      <c r="F16" s="96">
        <f>69000+1957692</f>
        <v>2026692</v>
      </c>
      <c r="G16" s="96">
        <f t="shared" si="0"/>
        <v>2885759.26</v>
      </c>
      <c r="H16" s="96">
        <f t="shared" si="1"/>
        <v>2026692</v>
      </c>
      <c r="I16" s="96">
        <f t="shared" si="1"/>
        <v>2026692</v>
      </c>
      <c r="J16" s="96">
        <v>0</v>
      </c>
      <c r="K16" s="96">
        <v>0</v>
      </c>
      <c r="L16" s="96">
        <v>0</v>
      </c>
      <c r="M16" s="98"/>
    </row>
    <row r="17" spans="1:13" s="34" customFormat="1" ht="39.75" customHeight="1">
      <c r="A17" s="64" t="s">
        <v>152</v>
      </c>
      <c r="B17" s="71"/>
      <c r="C17" s="71"/>
      <c r="D17" s="96">
        <f>'3 с разбивкой утв'!BK82</f>
        <v>362558.24</v>
      </c>
      <c r="E17" s="96">
        <f>177000+180966</f>
        <v>357966</v>
      </c>
      <c r="F17" s="96">
        <f>180966+177000</f>
        <v>357966</v>
      </c>
      <c r="G17" s="96">
        <f t="shared" si="0"/>
        <v>362558.24</v>
      </c>
      <c r="H17" s="96">
        <f t="shared" si="1"/>
        <v>357966</v>
      </c>
      <c r="I17" s="96">
        <f t="shared" si="1"/>
        <v>357966</v>
      </c>
      <c r="J17" s="96">
        <v>0</v>
      </c>
      <c r="K17" s="96">
        <v>0</v>
      </c>
      <c r="L17" s="96">
        <v>0</v>
      </c>
      <c r="M17" s="98"/>
    </row>
    <row r="18" spans="1:13" s="34" customFormat="1" ht="37.5" customHeight="1">
      <c r="A18" s="64" t="s">
        <v>153</v>
      </c>
      <c r="B18" s="71"/>
      <c r="C18" s="71"/>
      <c r="D18" s="96">
        <f>'3 с разбивкой утв'!BK83</f>
        <v>352619.49</v>
      </c>
      <c r="E18" s="96">
        <f>263621+23684+86000+99000</f>
        <v>472305</v>
      </c>
      <c r="F18" s="96">
        <f>86000+23684+263621</f>
        <v>373305</v>
      </c>
      <c r="G18" s="96">
        <f t="shared" si="0"/>
        <v>352619.49</v>
      </c>
      <c r="H18" s="96">
        <f t="shared" si="1"/>
        <v>472305</v>
      </c>
      <c r="I18" s="96">
        <f t="shared" si="1"/>
        <v>373305</v>
      </c>
      <c r="J18" s="96">
        <v>0</v>
      </c>
      <c r="K18" s="96">
        <v>0</v>
      </c>
      <c r="L18" s="96">
        <v>0</v>
      </c>
      <c r="M18" s="98"/>
    </row>
    <row r="19" spans="1:13" s="34" customFormat="1" ht="24.75" customHeight="1">
      <c r="A19" s="64" t="s">
        <v>154</v>
      </c>
      <c r="B19" s="71"/>
      <c r="C19" s="71"/>
      <c r="D19" s="96">
        <f>'3 с разбивкой утв'!BK84</f>
        <v>17728.509999999998</v>
      </c>
      <c r="E19" s="96">
        <v>13696</v>
      </c>
      <c r="F19" s="96">
        <v>13696</v>
      </c>
      <c r="G19" s="96">
        <f t="shared" si="0"/>
        <v>17728.509999999998</v>
      </c>
      <c r="H19" s="96">
        <f t="shared" si="1"/>
        <v>13696</v>
      </c>
      <c r="I19" s="96">
        <f t="shared" si="1"/>
        <v>13696</v>
      </c>
      <c r="J19" s="96">
        <v>0</v>
      </c>
      <c r="K19" s="96">
        <v>0</v>
      </c>
      <c r="L19" s="96">
        <v>0</v>
      </c>
      <c r="M19" s="98"/>
    </row>
    <row r="20" spans="1:13" s="34" customFormat="1" ht="34.5" customHeight="1">
      <c r="A20" s="64" t="s">
        <v>155</v>
      </c>
      <c r="B20" s="71"/>
      <c r="C20" s="71"/>
      <c r="D20" s="96">
        <f>'3 с разбивкой утв'!BK85</f>
        <v>3271.3</v>
      </c>
      <c r="E20" s="96">
        <f>21000</f>
        <v>21000</v>
      </c>
      <c r="F20" s="96">
        <v>21000</v>
      </c>
      <c r="G20" s="96">
        <f t="shared" si="0"/>
        <v>3271.3</v>
      </c>
      <c r="H20" s="96">
        <f t="shared" si="1"/>
        <v>21000</v>
      </c>
      <c r="I20" s="96">
        <f t="shared" si="1"/>
        <v>21000</v>
      </c>
      <c r="J20" s="96">
        <v>0</v>
      </c>
      <c r="K20" s="96">
        <v>0</v>
      </c>
      <c r="L20" s="96">
        <v>0</v>
      </c>
      <c r="M20" s="98"/>
    </row>
    <row r="21" spans="1:13" ht="57" customHeight="1">
      <c r="A21" s="64" t="s">
        <v>156</v>
      </c>
      <c r="B21" s="64"/>
      <c r="C21" s="64"/>
      <c r="D21" s="84">
        <f>'3 с разбивкой утв'!BK86</f>
        <v>213720.57</v>
      </c>
      <c r="E21" s="84">
        <f>91000+137897</f>
        <v>228897</v>
      </c>
      <c r="F21" s="84">
        <f>137897+91000</f>
        <v>228897</v>
      </c>
      <c r="G21" s="84">
        <f t="shared" si="0"/>
        <v>213720.57</v>
      </c>
      <c r="H21" s="84">
        <f t="shared" si="1"/>
        <v>228897</v>
      </c>
      <c r="I21" s="84">
        <f t="shared" si="1"/>
        <v>228897</v>
      </c>
      <c r="J21" s="84">
        <v>0</v>
      </c>
      <c r="K21" s="84">
        <v>0</v>
      </c>
      <c r="L21" s="84">
        <v>0</v>
      </c>
      <c r="M21" s="98"/>
    </row>
    <row r="22" spans="1:13" ht="33.75" customHeight="1">
      <c r="A22" s="64" t="s">
        <v>118</v>
      </c>
      <c r="B22" s="71">
        <v>2001</v>
      </c>
      <c r="C22" s="64"/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</row>
    <row r="23" spans="1:13">
      <c r="A23" s="64"/>
      <c r="B23" s="64"/>
      <c r="C23" s="64"/>
      <c r="D23" s="84"/>
      <c r="E23" s="84"/>
      <c r="F23" s="84"/>
      <c r="G23" s="84"/>
      <c r="H23" s="84"/>
      <c r="I23" s="84"/>
      <c r="J23" s="84"/>
      <c r="K23" s="84"/>
      <c r="L23" s="84"/>
    </row>
    <row r="24" spans="1:13" ht="18.75" customHeight="1">
      <c r="A24" s="69"/>
      <c r="D24" s="99">
        <f>'3 с разбивкой утв'!BA56-'4'!D12</f>
        <v>0</v>
      </c>
      <c r="E24" s="101">
        <f>'3 (2)'!BA37-'4'!E12</f>
        <v>0</v>
      </c>
      <c r="F24" s="101">
        <f>'3 (3)'!BA37-'4'!F12</f>
        <v>0</v>
      </c>
    </row>
    <row r="25" spans="1:13">
      <c r="E25" s="100"/>
      <c r="F25" s="100"/>
    </row>
    <row r="26" spans="1:13">
      <c r="E26" s="100"/>
      <c r="F26" s="100"/>
    </row>
    <row r="27" spans="1:13">
      <c r="E27" s="100"/>
      <c r="F27" s="100"/>
    </row>
    <row r="28" spans="1:13">
      <c r="E28" s="100"/>
      <c r="F28" s="100"/>
    </row>
    <row r="29" spans="1:13">
      <c r="E29" s="100"/>
      <c r="F29" s="100"/>
    </row>
    <row r="30" spans="1:13">
      <c r="E30" s="100"/>
      <c r="F30" s="100"/>
    </row>
    <row r="31" spans="1:13">
      <c r="E31" s="100"/>
      <c r="F31" s="100"/>
    </row>
    <row r="32" spans="1:13">
      <c r="E32" s="100"/>
      <c r="F32" s="100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66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37"/>
  <sheetViews>
    <sheetView view="pageBreakPreview" topLeftCell="A3" zoomScale="73" zoomScaleNormal="100" zoomScaleSheetLayoutView="73" workbookViewId="0">
      <selection activeCell="J21" sqref="J21"/>
    </sheetView>
  </sheetViews>
  <sheetFormatPr defaultRowHeight="12.75"/>
  <cols>
    <col min="1" max="1" width="48" customWidth="1"/>
    <col min="2" max="2" width="12" customWidth="1"/>
    <col min="3" max="3" width="24.7109375" customWidth="1"/>
  </cols>
  <sheetData>
    <row r="1" spans="1:4" ht="18.75">
      <c r="A1" s="197" t="s">
        <v>119</v>
      </c>
      <c r="B1" s="197"/>
      <c r="C1" s="197"/>
    </row>
    <row r="2" spans="1:4" ht="18.75">
      <c r="A2" s="197" t="s">
        <v>120</v>
      </c>
      <c r="B2" s="197"/>
      <c r="C2" s="197"/>
      <c r="D2" s="10" t="s">
        <v>160</v>
      </c>
    </row>
    <row r="3" spans="1:4" ht="18.75">
      <c r="A3" s="197" t="s">
        <v>214</v>
      </c>
      <c r="B3" s="197"/>
      <c r="C3" s="197"/>
    </row>
    <row r="4" spans="1:4" ht="18.75">
      <c r="A4" s="197" t="s">
        <v>121</v>
      </c>
      <c r="B4" s="197"/>
      <c r="C4" s="197"/>
    </row>
    <row r="5" spans="1:4" ht="18.75">
      <c r="A5" s="69"/>
    </row>
    <row r="6" spans="1:4" ht="15.75">
      <c r="A6" s="268" t="s">
        <v>0</v>
      </c>
      <c r="B6" s="268" t="s">
        <v>1</v>
      </c>
      <c r="C6" s="70" t="s">
        <v>122</v>
      </c>
    </row>
    <row r="7" spans="1:4" ht="50.25" customHeight="1">
      <c r="A7" s="268"/>
      <c r="B7" s="268"/>
      <c r="C7" s="70" t="s">
        <v>123</v>
      </c>
    </row>
    <row r="8" spans="1:4" ht="15.75">
      <c r="A8" s="70">
        <v>1</v>
      </c>
      <c r="B8" s="70">
        <v>2</v>
      </c>
      <c r="C8" s="70">
        <v>3</v>
      </c>
    </row>
    <row r="9" spans="1:4" ht="27" customHeight="1">
      <c r="A9" s="64" t="s">
        <v>26</v>
      </c>
      <c r="B9" s="70">
        <v>10</v>
      </c>
      <c r="C9" s="84">
        <v>0</v>
      </c>
    </row>
    <row r="10" spans="1:4" ht="27" customHeight="1">
      <c r="A10" s="64" t="s">
        <v>28</v>
      </c>
      <c r="B10" s="70">
        <v>20</v>
      </c>
      <c r="C10" s="84">
        <v>0</v>
      </c>
    </row>
    <row r="11" spans="1:4" ht="27" customHeight="1">
      <c r="A11" s="64" t="s">
        <v>124</v>
      </c>
      <c r="B11" s="70">
        <v>30</v>
      </c>
      <c r="C11" s="84">
        <v>0</v>
      </c>
    </row>
    <row r="12" spans="1:4" ht="27" customHeight="1">
      <c r="A12" s="64"/>
      <c r="B12" s="64"/>
      <c r="C12" s="84"/>
    </row>
    <row r="13" spans="1:4" ht="27" customHeight="1">
      <c r="A13" s="64" t="s">
        <v>125</v>
      </c>
      <c r="B13" s="70">
        <v>40</v>
      </c>
      <c r="C13" s="84">
        <v>0</v>
      </c>
    </row>
    <row r="14" spans="1:4" ht="15.75">
      <c r="A14" s="64"/>
      <c r="B14" s="64"/>
      <c r="C14" s="84"/>
    </row>
    <row r="15" spans="1:4" ht="18.75">
      <c r="A15" s="69"/>
    </row>
    <row r="16" spans="1:4" ht="11.25" customHeight="1">
      <c r="A16" s="69"/>
    </row>
    <row r="17" spans="1:3" ht="11.25" customHeight="1">
      <c r="A17" s="72"/>
    </row>
    <row r="18" spans="1:3" ht="18.75">
      <c r="A18" s="197" t="s">
        <v>126</v>
      </c>
      <c r="B18" s="197"/>
      <c r="C18" s="197"/>
    </row>
    <row r="19" spans="1:3" ht="12.75" customHeight="1">
      <c r="A19" s="61"/>
    </row>
    <row r="20" spans="1:3" ht="30.75" customHeight="1">
      <c r="A20" s="268" t="s">
        <v>0</v>
      </c>
      <c r="B20" s="268" t="s">
        <v>1</v>
      </c>
      <c r="C20" s="70" t="s">
        <v>127</v>
      </c>
    </row>
    <row r="21" spans="1:3" ht="15.75">
      <c r="A21" s="268"/>
      <c r="B21" s="268"/>
      <c r="C21" s="70" t="s">
        <v>128</v>
      </c>
    </row>
    <row r="22" spans="1:3" ht="15.75">
      <c r="A22" s="70">
        <v>1</v>
      </c>
      <c r="B22" s="70">
        <v>2</v>
      </c>
      <c r="C22" s="70">
        <v>3</v>
      </c>
    </row>
    <row r="23" spans="1:3" ht="15.75">
      <c r="A23" s="64" t="s">
        <v>129</v>
      </c>
      <c r="B23" s="70">
        <v>10</v>
      </c>
      <c r="C23" s="84">
        <v>0</v>
      </c>
    </row>
    <row r="24" spans="1:3" ht="90" customHeight="1">
      <c r="A24" s="79" t="s">
        <v>130</v>
      </c>
      <c r="B24" s="70">
        <v>20</v>
      </c>
      <c r="C24" s="84">
        <v>0</v>
      </c>
    </row>
    <row r="25" spans="1:3" ht="18.75">
      <c r="A25" s="72"/>
    </row>
    <row r="26" spans="1:3" s="74" customFormat="1" ht="19.5" customHeight="1">
      <c r="A26" s="77" t="s">
        <v>132</v>
      </c>
    </row>
    <row r="27" spans="1:3" s="74" customFormat="1" ht="19.5" customHeight="1">
      <c r="A27" s="76" t="s">
        <v>131</v>
      </c>
    </row>
    <row r="28" spans="1:3" s="74" customFormat="1" ht="15.75">
      <c r="A28" s="75" t="s">
        <v>133</v>
      </c>
      <c r="B28" s="86" t="s">
        <v>146</v>
      </c>
      <c r="C28" s="86" t="s">
        <v>146</v>
      </c>
    </row>
    <row r="29" spans="1:3" s="74" customFormat="1" ht="21" customHeight="1">
      <c r="A29" s="75"/>
      <c r="B29" s="75" t="s">
        <v>134</v>
      </c>
      <c r="C29" s="75" t="s">
        <v>135</v>
      </c>
    </row>
    <row r="30" spans="1:3" s="74" customFormat="1" ht="10.5" customHeight="1">
      <c r="A30" s="75"/>
    </row>
    <row r="31" spans="1:3" ht="15.75">
      <c r="A31" s="73" t="s">
        <v>136</v>
      </c>
      <c r="B31" s="78"/>
      <c r="C31" s="85" t="s">
        <v>144</v>
      </c>
    </row>
    <row r="32" spans="1:3" ht="16.5" customHeight="1">
      <c r="A32" s="73"/>
      <c r="B32" s="75" t="s">
        <v>134</v>
      </c>
      <c r="C32" s="75" t="s">
        <v>135</v>
      </c>
    </row>
    <row r="33" spans="1:3" ht="15.75">
      <c r="A33" s="73"/>
    </row>
    <row r="34" spans="1:3" ht="15.75">
      <c r="A34" s="73" t="s">
        <v>137</v>
      </c>
      <c r="B34" s="78"/>
      <c r="C34" s="85" t="s">
        <v>144</v>
      </c>
    </row>
    <row r="35" spans="1:3" ht="18.75" customHeight="1">
      <c r="A35" s="73" t="s">
        <v>145</v>
      </c>
      <c r="B35" s="75" t="s">
        <v>134</v>
      </c>
      <c r="C35" s="75" t="s">
        <v>135</v>
      </c>
    </row>
    <row r="36" spans="1:3" ht="15.75">
      <c r="A36" s="73"/>
    </row>
    <row r="37" spans="1:3" ht="26.25" customHeight="1">
      <c r="A37" s="73" t="s">
        <v>223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K116"/>
  <sheetViews>
    <sheetView view="pageBreakPreview" topLeftCell="X4" zoomScaleNormal="100" zoomScaleSheetLayoutView="100" workbookViewId="0">
      <pane ySplit="4" topLeftCell="A8" activePane="bottomLeft" state="frozen"/>
      <selection activeCell="A4" sqref="A4"/>
      <selection pane="bottomLeft" activeCell="BC97" sqref="BC97"/>
    </sheetView>
  </sheetViews>
  <sheetFormatPr defaultRowHeight="10.15" customHeight="1"/>
  <cols>
    <col min="1" max="15" width="0.28515625" style="10" customWidth="1"/>
    <col min="16" max="16" width="0.7109375" style="10" customWidth="1"/>
    <col min="17" max="22" width="0.28515625" style="10" customWidth="1"/>
    <col min="23" max="23" width="0.28515625" style="10" hidden="1" customWidth="1"/>
    <col min="24" max="49" width="0.28515625" style="10" customWidth="1"/>
    <col min="50" max="50" width="10.5703125" style="10" customWidth="1"/>
    <col min="51" max="51" width="6.7109375" style="10" customWidth="1"/>
    <col min="52" max="52" width="8.7109375" style="10" customWidth="1"/>
    <col min="53" max="53" width="13.5703125" style="10" customWidth="1"/>
    <col min="54" max="54" width="13.42578125" style="10" customWidth="1"/>
    <col min="55" max="55" width="15.140625" style="10" customWidth="1"/>
    <col min="56" max="56" width="12.140625" style="10" customWidth="1"/>
    <col min="57" max="57" width="11.140625" style="10" customWidth="1"/>
    <col min="58" max="58" width="9.7109375" style="10" customWidth="1"/>
    <col min="59" max="59" width="15.140625" style="91" customWidth="1"/>
    <col min="60" max="60" width="9.140625" style="10"/>
    <col min="61" max="61" width="14.7109375" style="10" customWidth="1"/>
    <col min="62" max="62" width="12.5703125" style="10" bestFit="1" customWidth="1"/>
    <col min="63" max="63" width="15.85546875" style="10" bestFit="1" customWidth="1"/>
    <col min="64" max="16384" width="9.140625" style="10"/>
  </cols>
  <sheetData>
    <row r="1" spans="1:63" ht="12.75"/>
    <row r="2" spans="1:63" ht="21" customHeight="1">
      <c r="A2" s="213" t="s">
        <v>212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</row>
    <row r="3" spans="1:63" ht="12.7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"/>
      <c r="BD3" s="1"/>
      <c r="BE3" s="1"/>
      <c r="BF3" s="1"/>
    </row>
    <row r="4" spans="1:63" ht="12.75" customHeight="1">
      <c r="A4" s="220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2"/>
      <c r="AY4" s="229" t="s">
        <v>1</v>
      </c>
      <c r="AZ4" s="232" t="s">
        <v>2</v>
      </c>
      <c r="BA4" s="214" t="s">
        <v>3</v>
      </c>
      <c r="BB4" s="215"/>
      <c r="BC4" s="215"/>
      <c r="BD4" s="215"/>
      <c r="BE4" s="215"/>
      <c r="BF4" s="215"/>
    </row>
    <row r="5" spans="1:63" ht="12.75" customHeigh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5"/>
      <c r="AY5" s="230"/>
      <c r="AZ5" s="218"/>
      <c r="BA5" s="218" t="s">
        <v>30</v>
      </c>
      <c r="BB5" s="231" t="s">
        <v>4</v>
      </c>
      <c r="BC5" s="231"/>
      <c r="BD5" s="231"/>
      <c r="BE5" s="231"/>
      <c r="BF5" s="231"/>
    </row>
    <row r="6" spans="1:63" ht="61.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5"/>
      <c r="AY6" s="230"/>
      <c r="AZ6" s="218"/>
      <c r="BA6" s="218"/>
      <c r="BB6" s="217" t="s">
        <v>5</v>
      </c>
      <c r="BC6" s="217" t="s">
        <v>6</v>
      </c>
      <c r="BD6" s="217" t="s">
        <v>7</v>
      </c>
      <c r="BE6" s="217" t="s">
        <v>8</v>
      </c>
      <c r="BF6" s="217"/>
    </row>
    <row r="7" spans="1:63" ht="30" customHeight="1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8"/>
      <c r="AY7" s="231"/>
      <c r="AZ7" s="219"/>
      <c r="BA7" s="219"/>
      <c r="BB7" s="217"/>
      <c r="BC7" s="217"/>
      <c r="BD7" s="217"/>
      <c r="BE7" s="150" t="s">
        <v>9</v>
      </c>
      <c r="BF7" s="150" t="s">
        <v>10</v>
      </c>
      <c r="BG7" s="134">
        <f>BA9+BA109-BA30</f>
        <v>0</v>
      </c>
      <c r="BK7" s="10" t="s">
        <v>147</v>
      </c>
    </row>
    <row r="8" spans="1:63" ht="11.1" customHeight="1">
      <c r="A8" s="214">
        <v>1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6"/>
      <c r="AY8" s="2">
        <v>2</v>
      </c>
      <c r="AZ8" s="80">
        <v>3</v>
      </c>
      <c r="BA8" s="80">
        <v>4</v>
      </c>
      <c r="BB8" s="151">
        <v>5</v>
      </c>
      <c r="BC8" s="151">
        <v>6</v>
      </c>
      <c r="BD8" s="151">
        <v>7</v>
      </c>
      <c r="BE8" s="150">
        <v>8</v>
      </c>
      <c r="BF8" s="150">
        <v>9</v>
      </c>
    </row>
    <row r="9" spans="1:63" ht="23.25" customHeight="1">
      <c r="A9" s="3"/>
      <c r="B9" s="208" t="s">
        <v>31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9"/>
      <c r="AY9" s="12">
        <v>100</v>
      </c>
      <c r="AZ9" s="81" t="s">
        <v>32</v>
      </c>
      <c r="BA9" s="117">
        <f>BA10+BA12+BA20+BA21+BA22+BA25+BA28</f>
        <v>15378764.73</v>
      </c>
      <c r="BB9" s="117">
        <f>BB12</f>
        <v>14507691</v>
      </c>
      <c r="BC9" s="117">
        <f>BC22</f>
        <v>52161</v>
      </c>
      <c r="BD9" s="117">
        <f>BD22</f>
        <v>0</v>
      </c>
      <c r="BE9" s="117">
        <f>BE10+BE12+BE20+BE21+BE25+BE28</f>
        <v>818912.73</v>
      </c>
      <c r="BF9" s="117">
        <f>BF12+BF25</f>
        <v>0</v>
      </c>
      <c r="BG9" s="116"/>
    </row>
    <row r="10" spans="1:63" ht="21.75" customHeight="1">
      <c r="A10" s="5"/>
      <c r="B10" s="199" t="s">
        <v>58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200"/>
      <c r="AY10" s="8">
        <v>110</v>
      </c>
      <c r="AZ10" s="81" t="s">
        <v>13</v>
      </c>
      <c r="BA10" s="95">
        <f>BE10</f>
        <v>136912.73000000001</v>
      </c>
      <c r="BB10" s="90" t="s">
        <v>32</v>
      </c>
      <c r="BC10" s="90" t="s">
        <v>32</v>
      </c>
      <c r="BD10" s="90" t="s">
        <v>32</v>
      </c>
      <c r="BE10" s="90">
        <v>136912.73000000001</v>
      </c>
      <c r="BF10" s="90" t="s">
        <v>32</v>
      </c>
      <c r="BG10" s="91" t="s">
        <v>173</v>
      </c>
    </row>
    <row r="11" spans="1:63" ht="13.5" customHeight="1">
      <c r="A11" s="5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200"/>
      <c r="AY11" s="8"/>
      <c r="AZ11" s="81"/>
      <c r="BA11" s="95"/>
      <c r="BB11" s="90"/>
      <c r="BC11" s="90"/>
      <c r="BD11" s="90"/>
      <c r="BE11" s="90"/>
      <c r="BF11" s="90"/>
    </row>
    <row r="12" spans="1:63" ht="12.75">
      <c r="A12" s="5"/>
      <c r="B12" s="199" t="s">
        <v>37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200"/>
      <c r="AY12" s="8">
        <v>120</v>
      </c>
      <c r="AZ12" s="81" t="s">
        <v>15</v>
      </c>
      <c r="BA12" s="95">
        <f>BB12+BE12+BF12</f>
        <v>15129691</v>
      </c>
      <c r="BB12" s="90">
        <f>SUM(BB13:BB19)</f>
        <v>14507691</v>
      </c>
      <c r="BC12" s="90" t="s">
        <v>32</v>
      </c>
      <c r="BD12" s="90" t="s">
        <v>32</v>
      </c>
      <c r="BE12" s="90">
        <f>SUM(BE13:BE19)</f>
        <v>622000</v>
      </c>
      <c r="BF12" s="90">
        <v>0</v>
      </c>
      <c r="BG12" s="91" t="s">
        <v>42</v>
      </c>
    </row>
    <row r="13" spans="1:63" s="103" customFormat="1" ht="45.75" customHeight="1">
      <c r="A13" s="212" t="s">
        <v>164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1"/>
      <c r="AY13" s="118"/>
      <c r="AZ13" s="119" t="s">
        <v>167</v>
      </c>
      <c r="BA13" s="104"/>
      <c r="BB13" s="104">
        <v>13316691</v>
      </c>
      <c r="BC13" s="104"/>
      <c r="BD13" s="104"/>
      <c r="BE13" s="104"/>
      <c r="BF13" s="104"/>
      <c r="BG13" s="233" t="s">
        <v>163</v>
      </c>
    </row>
    <row r="14" spans="1:63" s="103" customFormat="1" ht="33.75" customHeight="1">
      <c r="A14" s="212" t="s">
        <v>165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1"/>
      <c r="AY14" s="118"/>
      <c r="AZ14" s="119" t="s">
        <v>167</v>
      </c>
      <c r="BA14" s="104"/>
      <c r="BB14" s="104">
        <f>37380-37380</f>
        <v>0</v>
      </c>
      <c r="BC14" s="104"/>
      <c r="BD14" s="104"/>
      <c r="BE14" s="104"/>
      <c r="BF14" s="104"/>
      <c r="BG14" s="233"/>
    </row>
    <row r="15" spans="1:63" s="103" customFormat="1" ht="33.75" customHeight="1">
      <c r="A15" s="212" t="s">
        <v>166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1"/>
      <c r="AY15" s="118"/>
      <c r="AZ15" s="119" t="s">
        <v>168</v>
      </c>
      <c r="BA15" s="104"/>
      <c r="BB15" s="104">
        <v>1191000</v>
      </c>
      <c r="BC15" s="104"/>
      <c r="BD15" s="104"/>
      <c r="BE15" s="104"/>
      <c r="BF15" s="104"/>
      <c r="BG15" s="233"/>
    </row>
    <row r="16" spans="1:63" s="103" customFormat="1" ht="16.5" customHeight="1">
      <c r="A16" s="234" t="s">
        <v>208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6"/>
      <c r="AY16" s="118"/>
      <c r="AZ16" s="119" t="s">
        <v>167</v>
      </c>
      <c r="BA16" s="104"/>
      <c r="BB16" s="104"/>
      <c r="BC16" s="104"/>
      <c r="BD16" s="104"/>
      <c r="BE16" s="104"/>
      <c r="BF16" s="104"/>
      <c r="BG16" s="233"/>
    </row>
    <row r="17" spans="1:59" s="103" customFormat="1" ht="12.75">
      <c r="A17" s="234" t="s">
        <v>207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6"/>
      <c r="AY17" s="118"/>
      <c r="AZ17" s="119" t="s">
        <v>167</v>
      </c>
      <c r="BA17" s="104"/>
      <c r="BB17" s="104"/>
      <c r="BC17" s="104"/>
      <c r="BD17" s="104"/>
      <c r="BE17" s="104"/>
      <c r="BF17" s="104"/>
      <c r="BG17" s="233"/>
    </row>
    <row r="18" spans="1:59" s="103" customFormat="1" ht="12.75">
      <c r="A18" s="212" t="s">
        <v>170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1"/>
      <c r="AY18" s="118"/>
      <c r="AZ18" s="119" t="s">
        <v>169</v>
      </c>
      <c r="BA18" s="104"/>
      <c r="BB18" s="104"/>
      <c r="BC18" s="104"/>
      <c r="BD18" s="104"/>
      <c r="BE18" s="104">
        <v>500000</v>
      </c>
      <c r="BF18" s="104"/>
      <c r="BG18" s="233"/>
    </row>
    <row r="19" spans="1:59" s="103" customFormat="1" ht="12.75">
      <c r="A19" s="212" t="s">
        <v>172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1"/>
      <c r="AY19" s="118"/>
      <c r="AZ19" s="119" t="s">
        <v>171</v>
      </c>
      <c r="BA19" s="104"/>
      <c r="BB19" s="104"/>
      <c r="BC19" s="104"/>
      <c r="BD19" s="104"/>
      <c r="BE19" s="104">
        <v>122000</v>
      </c>
      <c r="BF19" s="104"/>
      <c r="BG19" s="233"/>
    </row>
    <row r="20" spans="1:59" ht="12.75">
      <c r="A20" s="5"/>
      <c r="B20" s="199" t="s">
        <v>36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200"/>
      <c r="AY20" s="8">
        <v>130</v>
      </c>
      <c r="AZ20" s="81" t="s">
        <v>14</v>
      </c>
      <c r="BA20" s="95">
        <f>BE20</f>
        <v>0</v>
      </c>
      <c r="BB20" s="90" t="s">
        <v>32</v>
      </c>
      <c r="BC20" s="90" t="s">
        <v>32</v>
      </c>
      <c r="BD20" s="90" t="s">
        <v>32</v>
      </c>
      <c r="BE20" s="120">
        <v>0</v>
      </c>
      <c r="BF20" s="90" t="s">
        <v>32</v>
      </c>
      <c r="BG20" s="91" t="s">
        <v>34</v>
      </c>
    </row>
    <row r="21" spans="1:59" ht="12.75">
      <c r="A21" s="5"/>
      <c r="B21" s="199" t="s">
        <v>35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200"/>
      <c r="AY21" s="8">
        <v>140</v>
      </c>
      <c r="AZ21" s="81" t="s">
        <v>43</v>
      </c>
      <c r="BA21" s="95">
        <f>BE21</f>
        <v>0</v>
      </c>
      <c r="BB21" s="90" t="s">
        <v>32</v>
      </c>
      <c r="BC21" s="90" t="s">
        <v>32</v>
      </c>
      <c r="BD21" s="90" t="s">
        <v>32</v>
      </c>
      <c r="BE21" s="90">
        <v>0</v>
      </c>
      <c r="BF21" s="90" t="s">
        <v>32</v>
      </c>
    </row>
    <row r="22" spans="1:59" ht="12.75">
      <c r="A22" s="5"/>
      <c r="B22" s="199" t="s">
        <v>38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200"/>
      <c r="AY22" s="8">
        <v>150</v>
      </c>
      <c r="AZ22" s="81" t="s">
        <v>12</v>
      </c>
      <c r="BA22" s="95">
        <f>BC22+BD22</f>
        <v>52161</v>
      </c>
      <c r="BB22" s="90" t="s">
        <v>32</v>
      </c>
      <c r="BC22" s="90">
        <f>SUM(BC23:BC24)</f>
        <v>52161</v>
      </c>
      <c r="BD22" s="90">
        <v>0</v>
      </c>
      <c r="BE22" s="90" t="s">
        <v>32</v>
      </c>
      <c r="BF22" s="90" t="s">
        <v>32</v>
      </c>
      <c r="BG22" s="91" t="s">
        <v>44</v>
      </c>
    </row>
    <row r="23" spans="1:59" s="103" customFormat="1" ht="12.75">
      <c r="A23" s="212" t="s">
        <v>194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1"/>
      <c r="AY23" s="118"/>
      <c r="AZ23" s="119" t="s">
        <v>195</v>
      </c>
      <c r="BA23" s="104"/>
      <c r="BB23" s="104"/>
      <c r="BC23" s="104">
        <f>11331+3450</f>
        <v>14781</v>
      </c>
      <c r="BD23" s="104"/>
      <c r="BE23" s="104"/>
      <c r="BF23" s="104"/>
      <c r="BG23" s="91"/>
    </row>
    <row r="24" spans="1:59" s="103" customFormat="1" ht="12.75">
      <c r="A24" s="212" t="s">
        <v>238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1"/>
      <c r="AY24" s="118"/>
      <c r="AZ24" s="119" t="s">
        <v>237</v>
      </c>
      <c r="BA24" s="104"/>
      <c r="BB24" s="104"/>
      <c r="BC24" s="104">
        <v>37380</v>
      </c>
      <c r="BD24" s="104"/>
      <c r="BE24" s="104"/>
      <c r="BF24" s="104"/>
      <c r="BG24" s="91"/>
    </row>
    <row r="25" spans="1:59" ht="12.75">
      <c r="A25" s="5"/>
      <c r="B25" s="199" t="s">
        <v>39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200"/>
      <c r="AY25" s="8">
        <v>160</v>
      </c>
      <c r="AZ25" s="81" t="s">
        <v>12</v>
      </c>
      <c r="BA25" s="95">
        <f>BE25</f>
        <v>60000</v>
      </c>
      <c r="BB25" s="90" t="s">
        <v>32</v>
      </c>
      <c r="BC25" s="90" t="s">
        <v>32</v>
      </c>
      <c r="BD25" s="90" t="s">
        <v>32</v>
      </c>
      <c r="BE25" s="90">
        <f>SUM(BE26:BE27)</f>
        <v>60000</v>
      </c>
      <c r="BF25" s="90">
        <v>0</v>
      </c>
      <c r="BG25" s="91" t="s">
        <v>40</v>
      </c>
    </row>
    <row r="26" spans="1:59" s="103" customFormat="1" ht="12.75">
      <c r="A26" s="212" t="s">
        <v>203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1"/>
      <c r="AY26" s="118"/>
      <c r="AZ26" s="119" t="s">
        <v>174</v>
      </c>
      <c r="BA26" s="104"/>
      <c r="BB26" s="104"/>
      <c r="BC26" s="104"/>
      <c r="BD26" s="104"/>
      <c r="BE26" s="104">
        <v>60000</v>
      </c>
      <c r="BF26" s="104"/>
      <c r="BG26" s="91">
        <v>2006</v>
      </c>
    </row>
    <row r="27" spans="1:59" s="103" customFormat="1" ht="12.75">
      <c r="A27" s="212" t="s">
        <v>202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1"/>
      <c r="AY27" s="118"/>
      <c r="AZ27" s="119" t="s">
        <v>175</v>
      </c>
      <c r="BA27" s="104"/>
      <c r="BB27" s="104"/>
      <c r="BC27" s="104"/>
      <c r="BD27" s="104"/>
      <c r="BE27" s="104">
        <v>0</v>
      </c>
      <c r="BF27" s="104"/>
      <c r="BG27" s="91">
        <v>1010</v>
      </c>
    </row>
    <row r="28" spans="1:59" ht="12.75">
      <c r="A28" s="5"/>
      <c r="B28" s="199" t="s">
        <v>41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200"/>
      <c r="AY28" s="8">
        <v>180</v>
      </c>
      <c r="AZ28" s="81" t="s">
        <v>59</v>
      </c>
      <c r="BA28" s="95">
        <f>BE28</f>
        <v>0</v>
      </c>
      <c r="BB28" s="90" t="s">
        <v>32</v>
      </c>
      <c r="BC28" s="90" t="s">
        <v>32</v>
      </c>
      <c r="BD28" s="90" t="s">
        <v>32</v>
      </c>
      <c r="BE28" s="90">
        <v>0</v>
      </c>
      <c r="BF28" s="90">
        <v>0</v>
      </c>
    </row>
    <row r="29" spans="1:59" ht="12.75">
      <c r="A29" s="11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200"/>
      <c r="AY29" s="8"/>
      <c r="AZ29" s="81"/>
      <c r="BA29" s="95"/>
      <c r="BB29" s="90"/>
      <c r="BC29" s="90"/>
      <c r="BD29" s="90"/>
      <c r="BE29" s="90"/>
      <c r="BF29" s="90"/>
    </row>
    <row r="30" spans="1:59" ht="12.75">
      <c r="A30" s="3"/>
      <c r="B30" s="208" t="s">
        <v>45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9"/>
      <c r="AY30" s="12">
        <v>200</v>
      </c>
      <c r="AZ30" s="81" t="s">
        <v>32</v>
      </c>
      <c r="BA30" s="117">
        <f t="shared" ref="BA30:BF30" si="0">BA31+BA41+BA44+BA53+BA55+BA56</f>
        <v>16584623.23</v>
      </c>
      <c r="BB30" s="117">
        <f t="shared" si="0"/>
        <v>15616429.390000001</v>
      </c>
      <c r="BC30" s="117">
        <f t="shared" si="0"/>
        <v>76461</v>
      </c>
      <c r="BD30" s="117">
        <f t="shared" si="0"/>
        <v>0</v>
      </c>
      <c r="BE30" s="117">
        <f t="shared" si="0"/>
        <v>891732.84000000008</v>
      </c>
      <c r="BF30" s="117">
        <f t="shared" si="0"/>
        <v>0</v>
      </c>
      <c r="BG30" s="121"/>
    </row>
    <row r="31" spans="1:59" ht="12.75">
      <c r="A31" s="5"/>
      <c r="B31" s="202" t="s">
        <v>46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3"/>
      <c r="AY31" s="14">
        <v>210</v>
      </c>
      <c r="AZ31" s="81"/>
      <c r="BA31" s="95">
        <f>BA32+BA37+BA40</f>
        <v>12227393.529999999</v>
      </c>
      <c r="BB31" s="94">
        <f t="shared" ref="BB31:BF31" si="1">BB32+BB37+BB40</f>
        <v>11862990.08</v>
      </c>
      <c r="BC31" s="94">
        <f t="shared" si="1"/>
        <v>14781</v>
      </c>
      <c r="BD31" s="94">
        <f t="shared" si="1"/>
        <v>0</v>
      </c>
      <c r="BE31" s="94">
        <f t="shared" si="1"/>
        <v>349622.45</v>
      </c>
      <c r="BF31" s="94">
        <f t="shared" si="1"/>
        <v>0</v>
      </c>
    </row>
    <row r="32" spans="1:59" ht="12.75">
      <c r="A32" s="5"/>
      <c r="B32" s="202" t="s">
        <v>47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3"/>
      <c r="AY32" s="14">
        <v>211</v>
      </c>
      <c r="AZ32" s="81"/>
      <c r="BA32" s="95">
        <f>BA33+BA36</f>
        <v>12060090.08</v>
      </c>
      <c r="BB32" s="94">
        <f t="shared" ref="BB32:BF32" si="2">BB33+BB36</f>
        <v>11717490.08</v>
      </c>
      <c r="BC32" s="94">
        <f t="shared" si="2"/>
        <v>0</v>
      </c>
      <c r="BD32" s="94">
        <f t="shared" si="2"/>
        <v>0</v>
      </c>
      <c r="BE32" s="94">
        <f>BE33+BE36</f>
        <v>342600</v>
      </c>
      <c r="BF32" s="94">
        <f t="shared" si="2"/>
        <v>0</v>
      </c>
    </row>
    <row r="33" spans="1:59" ht="12.75">
      <c r="A33" s="6"/>
      <c r="B33" s="7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200"/>
      <c r="AY33" s="8"/>
      <c r="AZ33" s="81" t="s">
        <v>19</v>
      </c>
      <c r="BA33" s="95">
        <f>BB33+BC33+BD33+BE33</f>
        <v>9397444.0800000001</v>
      </c>
      <c r="BB33" s="90">
        <f>BB34+BB35</f>
        <v>9127844.0800000001</v>
      </c>
      <c r="BC33" s="90">
        <v>0</v>
      </c>
      <c r="BD33" s="90">
        <v>0</v>
      </c>
      <c r="BE33" s="90">
        <f>160000+109600</f>
        <v>269600</v>
      </c>
      <c r="BF33" s="90">
        <v>0</v>
      </c>
      <c r="BG33" s="91" t="s">
        <v>178</v>
      </c>
    </row>
    <row r="34" spans="1:59" s="103" customFormat="1" ht="17.25" customHeight="1">
      <c r="A34" s="156"/>
      <c r="B34" s="157"/>
      <c r="C34" s="210" t="s">
        <v>231</v>
      </c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1"/>
      <c r="AY34" s="118"/>
      <c r="AZ34" s="119"/>
      <c r="BA34" s="104"/>
      <c r="BB34" s="104">
        <f>7858462+920000</f>
        <v>8778462</v>
      </c>
      <c r="BC34" s="104"/>
      <c r="BD34" s="104"/>
      <c r="BE34" s="104"/>
      <c r="BF34" s="104"/>
      <c r="BG34" s="124"/>
    </row>
    <row r="35" spans="1:59" s="103" customFormat="1" ht="12.75">
      <c r="A35" s="156"/>
      <c r="B35" s="157"/>
      <c r="C35" s="210" t="s">
        <v>232</v>
      </c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1"/>
      <c r="AY35" s="118"/>
      <c r="AZ35" s="119"/>
      <c r="BA35" s="104"/>
      <c r="BB35" s="104">
        <v>349382.08</v>
      </c>
      <c r="BC35" s="104"/>
      <c r="BD35" s="104"/>
      <c r="BE35" s="104"/>
      <c r="BF35" s="104"/>
      <c r="BG35" s="124"/>
    </row>
    <row r="36" spans="1:59" ht="12.75">
      <c r="A36" s="145"/>
      <c r="B36" s="152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200"/>
      <c r="AY36" s="8"/>
      <c r="AZ36" s="81" t="s">
        <v>20</v>
      </c>
      <c r="BA36" s="95">
        <f>BB36+BC36+BD36+BE36</f>
        <v>2662646</v>
      </c>
      <c r="BB36" s="90">
        <f>2318646+271000</f>
        <v>2589646</v>
      </c>
      <c r="BC36" s="90">
        <v>0</v>
      </c>
      <c r="BD36" s="90">
        <v>0</v>
      </c>
      <c r="BE36" s="90">
        <f>49000+24000</f>
        <v>73000</v>
      </c>
      <c r="BF36" s="90">
        <v>0</v>
      </c>
      <c r="BG36" s="91" t="s">
        <v>177</v>
      </c>
    </row>
    <row r="37" spans="1:59" ht="12.75">
      <c r="A37" s="145"/>
      <c r="B37" s="152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200"/>
      <c r="AY37" s="8"/>
      <c r="AZ37" s="81" t="s">
        <v>18</v>
      </c>
      <c r="BA37" s="95">
        <f>BB37+BC37+BD37+BE37</f>
        <v>39905.449999999997</v>
      </c>
      <c r="BB37" s="90">
        <v>18102</v>
      </c>
      <c r="BC37" s="90">
        <f>11331+3450</f>
        <v>14781</v>
      </c>
      <c r="BD37" s="90">
        <v>0</v>
      </c>
      <c r="BE37" s="90">
        <f>SUM(BE38:BE39)</f>
        <v>7022.4500000000007</v>
      </c>
      <c r="BF37" s="90">
        <v>0</v>
      </c>
      <c r="BG37" s="91" t="s">
        <v>176</v>
      </c>
    </row>
    <row r="38" spans="1:59" s="103" customFormat="1" ht="12.75">
      <c r="A38" s="153"/>
      <c r="B38" s="154"/>
      <c r="C38" s="210" t="s">
        <v>224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1"/>
      <c r="AY38" s="118"/>
      <c r="AZ38" s="119"/>
      <c r="BA38" s="104"/>
      <c r="BB38" s="104"/>
      <c r="BC38" s="104"/>
      <c r="BD38" s="104"/>
      <c r="BE38" s="104">
        <v>7000</v>
      </c>
      <c r="BF38" s="104"/>
      <c r="BG38" s="124"/>
    </row>
    <row r="39" spans="1:59" s="103" customFormat="1" ht="25.5" customHeight="1">
      <c r="A39" s="153"/>
      <c r="B39" s="154"/>
      <c r="C39" s="210" t="s">
        <v>226</v>
      </c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1"/>
      <c r="AY39" s="118"/>
      <c r="AZ39" s="119"/>
      <c r="BA39" s="104"/>
      <c r="BB39" s="104"/>
      <c r="BC39" s="104"/>
      <c r="BD39" s="104"/>
      <c r="BE39" s="104">
        <f>25000-24977.55</f>
        <v>22.450000000000728</v>
      </c>
      <c r="BF39" s="104"/>
      <c r="BG39" s="124"/>
    </row>
    <row r="40" spans="1:59" ht="12.75">
      <c r="A40" s="145"/>
      <c r="B40" s="152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200"/>
      <c r="AY40" s="8"/>
      <c r="AZ40" s="81" t="s">
        <v>24</v>
      </c>
      <c r="BA40" s="95">
        <f>BB40+BC40+BD40+BE40</f>
        <v>127398</v>
      </c>
      <c r="BB40" s="90">
        <v>127398</v>
      </c>
      <c r="BC40" s="90">
        <v>0</v>
      </c>
      <c r="BD40" s="90">
        <v>0</v>
      </c>
      <c r="BE40" s="90">
        <f>15000-15000</f>
        <v>0</v>
      </c>
      <c r="BF40" s="90">
        <v>0</v>
      </c>
      <c r="BG40" s="91" t="s">
        <v>227</v>
      </c>
    </row>
    <row r="41" spans="1:59" ht="12.75">
      <c r="A41" s="5"/>
      <c r="B41" s="202" t="s">
        <v>48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3"/>
      <c r="AY41" s="14">
        <v>220</v>
      </c>
      <c r="AZ41" s="81"/>
      <c r="BA41" s="95">
        <f>BA43</f>
        <v>0</v>
      </c>
      <c r="BB41" s="94">
        <f t="shared" ref="BB41:BF41" si="3">BB43</f>
        <v>0</v>
      </c>
      <c r="BC41" s="94">
        <f t="shared" si="3"/>
        <v>0</v>
      </c>
      <c r="BD41" s="94">
        <f t="shared" si="3"/>
        <v>0</v>
      </c>
      <c r="BE41" s="94">
        <f t="shared" si="3"/>
        <v>0</v>
      </c>
      <c r="BF41" s="94">
        <f t="shared" si="3"/>
        <v>0</v>
      </c>
    </row>
    <row r="42" spans="1:59" ht="12.75">
      <c r="A42" s="6"/>
      <c r="B42" s="7"/>
      <c r="C42" s="199" t="s">
        <v>16</v>
      </c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200"/>
      <c r="AY42" s="8"/>
      <c r="AZ42" s="81"/>
      <c r="BA42" s="95"/>
      <c r="BB42" s="90"/>
      <c r="BC42" s="90"/>
      <c r="BD42" s="90"/>
      <c r="BE42" s="90"/>
      <c r="BF42" s="90"/>
    </row>
    <row r="43" spans="1:59" ht="12.75">
      <c r="A43" s="145"/>
      <c r="B43" s="152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200"/>
      <c r="AY43" s="8"/>
      <c r="AZ43" s="81" t="s">
        <v>21</v>
      </c>
      <c r="BA43" s="95">
        <f>BB43+BC43+BD43+BE43</f>
        <v>0</v>
      </c>
      <c r="BB43" s="90">
        <v>0</v>
      </c>
      <c r="BC43" s="90">
        <v>0</v>
      </c>
      <c r="BD43" s="90">
        <v>0</v>
      </c>
      <c r="BE43" s="90">
        <v>0</v>
      </c>
      <c r="BF43" s="90">
        <v>0</v>
      </c>
    </row>
    <row r="44" spans="1:59" ht="26.25" customHeight="1">
      <c r="A44" s="145"/>
      <c r="B44" s="152"/>
      <c r="C44" s="202" t="s">
        <v>49</v>
      </c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3"/>
      <c r="AY44" s="14">
        <v>230</v>
      </c>
      <c r="AZ44" s="81"/>
      <c r="BA44" s="95">
        <f t="shared" ref="BA44:BF44" si="4">BA47+BA48+BA52+BA46</f>
        <v>415005.21</v>
      </c>
      <c r="BB44" s="94">
        <f t="shared" si="4"/>
        <v>403855</v>
      </c>
      <c r="BC44" s="94">
        <f t="shared" si="4"/>
        <v>0</v>
      </c>
      <c r="BD44" s="94">
        <f t="shared" si="4"/>
        <v>0</v>
      </c>
      <c r="BE44" s="94">
        <f t="shared" si="4"/>
        <v>11150.21</v>
      </c>
      <c r="BF44" s="94">
        <f t="shared" si="4"/>
        <v>0</v>
      </c>
    </row>
    <row r="45" spans="1:59" ht="12.75">
      <c r="A45" s="145"/>
      <c r="B45" s="152"/>
      <c r="C45" s="199" t="s">
        <v>16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200"/>
      <c r="AY45" s="8"/>
      <c r="AZ45" s="81"/>
      <c r="BA45" s="95"/>
      <c r="BB45" s="90"/>
      <c r="BC45" s="90"/>
      <c r="BD45" s="90"/>
      <c r="BE45" s="90"/>
      <c r="BF45" s="90"/>
    </row>
    <row r="46" spans="1:59" ht="12.75">
      <c r="A46" s="237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9"/>
      <c r="AY46" s="8"/>
      <c r="AZ46" s="81" t="s">
        <v>162</v>
      </c>
      <c r="BA46" s="95">
        <f>BB46+BC46+BD46+BE46</f>
        <v>0</v>
      </c>
      <c r="BB46" s="90">
        <v>0</v>
      </c>
      <c r="BC46" s="90">
        <v>0</v>
      </c>
      <c r="BD46" s="90">
        <v>0</v>
      </c>
      <c r="BE46" s="90">
        <v>0</v>
      </c>
      <c r="BF46" s="90">
        <v>0</v>
      </c>
      <c r="BG46" s="91" t="s">
        <v>179</v>
      </c>
    </row>
    <row r="47" spans="1:59" ht="12.75">
      <c r="A47" s="5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200"/>
      <c r="AY47" s="8"/>
      <c r="AZ47" s="81" t="s">
        <v>25</v>
      </c>
      <c r="BA47" s="95">
        <f>BB47+BC47+BD47+BE47</f>
        <v>364804</v>
      </c>
      <c r="BB47" s="90">
        <v>364804</v>
      </c>
      <c r="BC47" s="90">
        <v>0</v>
      </c>
      <c r="BD47" s="90">
        <v>0</v>
      </c>
      <c r="BE47" s="90">
        <v>0</v>
      </c>
      <c r="BF47" s="90">
        <v>0</v>
      </c>
      <c r="BG47" s="91" t="s">
        <v>180</v>
      </c>
    </row>
    <row r="48" spans="1:59" ht="12.75">
      <c r="A48" s="6"/>
      <c r="B48" s="7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200"/>
      <c r="AY48" s="8"/>
      <c r="AZ48" s="81" t="s">
        <v>22</v>
      </c>
      <c r="BA48" s="95">
        <f>BB48+BC48+BD48+BE48</f>
        <v>48051</v>
      </c>
      <c r="BB48" s="90">
        <f>SUM(BB49:BB51)</f>
        <v>39051</v>
      </c>
      <c r="BC48" s="90">
        <v>0</v>
      </c>
      <c r="BD48" s="90">
        <v>0</v>
      </c>
      <c r="BE48" s="90">
        <f>SUM(BE49:BE51)</f>
        <v>9000</v>
      </c>
      <c r="BF48" s="90">
        <v>0</v>
      </c>
      <c r="BG48" s="91" t="s">
        <v>181</v>
      </c>
    </row>
    <row r="49" spans="1:59" s="103" customFormat="1" ht="12.75">
      <c r="A49" s="240" t="s">
        <v>218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2"/>
      <c r="AY49" s="118"/>
      <c r="AZ49" s="119"/>
      <c r="BA49" s="104"/>
      <c r="BB49" s="104">
        <v>2571</v>
      </c>
      <c r="BC49" s="104"/>
      <c r="BD49" s="104"/>
      <c r="BE49" s="104"/>
      <c r="BF49" s="104"/>
      <c r="BG49" s="124"/>
    </row>
    <row r="50" spans="1:59" s="103" customFormat="1" ht="12.75">
      <c r="A50" s="240" t="s">
        <v>219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2"/>
      <c r="AY50" s="118"/>
      <c r="AZ50" s="119"/>
      <c r="BA50" s="104"/>
      <c r="BB50" s="104">
        <v>36480</v>
      </c>
      <c r="BC50" s="104"/>
      <c r="BD50" s="104"/>
      <c r="BE50" s="104"/>
      <c r="BF50" s="104"/>
      <c r="BG50" s="124"/>
    </row>
    <row r="51" spans="1:59" s="103" customFormat="1" ht="12.75">
      <c r="A51" s="240" t="s">
        <v>225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2"/>
      <c r="AY51" s="118"/>
      <c r="AZ51" s="119"/>
      <c r="BA51" s="104"/>
      <c r="BB51" s="104"/>
      <c r="BC51" s="104"/>
      <c r="BD51" s="104"/>
      <c r="BE51" s="104">
        <f>2000+7000</f>
        <v>9000</v>
      </c>
      <c r="BF51" s="104"/>
      <c r="BG51" s="124"/>
    </row>
    <row r="52" spans="1:59" ht="12.75">
      <c r="A52" s="145"/>
      <c r="B52" s="152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200"/>
      <c r="AY52" s="8"/>
      <c r="AZ52" s="81" t="s">
        <v>23</v>
      </c>
      <c r="BA52" s="95">
        <f t="shared" ref="BA52" si="5">BB52+BC52+BD52+BE52</f>
        <v>2150.21</v>
      </c>
      <c r="BB52" s="90">
        <v>0</v>
      </c>
      <c r="BC52" s="90">
        <v>0</v>
      </c>
      <c r="BD52" s="90">
        <v>0</v>
      </c>
      <c r="BE52" s="90">
        <f>2000+150.21</f>
        <v>2150.21</v>
      </c>
      <c r="BF52" s="90">
        <v>0</v>
      </c>
      <c r="BG52" s="91" t="s">
        <v>230</v>
      </c>
    </row>
    <row r="53" spans="1:59" ht="12.75">
      <c r="A53" s="145"/>
      <c r="B53" s="152"/>
      <c r="C53" s="202" t="s">
        <v>50</v>
      </c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3"/>
      <c r="AY53" s="14">
        <v>240</v>
      </c>
      <c r="AZ53" s="81"/>
      <c r="BA53" s="95"/>
      <c r="BB53" s="94"/>
      <c r="BC53" s="94"/>
      <c r="BD53" s="94"/>
      <c r="BE53" s="94"/>
      <c r="BF53" s="94"/>
    </row>
    <row r="54" spans="1:59" ht="12.75">
      <c r="A54" s="145"/>
      <c r="B54" s="152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200"/>
      <c r="AY54" s="8"/>
      <c r="AZ54" s="81"/>
      <c r="BA54" s="95"/>
      <c r="BB54" s="90"/>
      <c r="BC54" s="90"/>
      <c r="BD54" s="90"/>
      <c r="BE54" s="90"/>
      <c r="BF54" s="90"/>
    </row>
    <row r="55" spans="1:59" ht="12.75">
      <c r="A55" s="145"/>
      <c r="B55" s="152"/>
      <c r="C55" s="202" t="s">
        <v>51</v>
      </c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3"/>
      <c r="AY55" s="14">
        <v>250</v>
      </c>
      <c r="AZ55" s="81" t="s">
        <v>61</v>
      </c>
      <c r="BA55" s="95">
        <f>BD55</f>
        <v>0</v>
      </c>
      <c r="BB55" s="94">
        <v>0</v>
      </c>
      <c r="BC55" s="94">
        <v>0</v>
      </c>
      <c r="BD55" s="94">
        <v>0</v>
      </c>
      <c r="BE55" s="94">
        <v>0</v>
      </c>
      <c r="BF55" s="94">
        <v>0</v>
      </c>
      <c r="BG55" s="91" t="s">
        <v>62</v>
      </c>
    </row>
    <row r="56" spans="1:59" ht="12.75">
      <c r="A56" s="5"/>
      <c r="B56" s="202" t="s">
        <v>60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3"/>
      <c r="AY56" s="14">
        <v>260</v>
      </c>
      <c r="AZ56" s="81" t="s">
        <v>17</v>
      </c>
      <c r="BA56" s="95">
        <f>BB56+BC56+BD56+BE56</f>
        <v>3942224.4899999998</v>
      </c>
      <c r="BB56" s="94">
        <f>SUM(BB57:BB77)</f>
        <v>3349584.3099999996</v>
      </c>
      <c r="BC56" s="94">
        <f>SUM(BC57:BC100)</f>
        <v>61680</v>
      </c>
      <c r="BD56" s="94">
        <v>0</v>
      </c>
      <c r="BE56" s="94">
        <f>SUM(BE57:BE100)</f>
        <v>530960.18000000005</v>
      </c>
      <c r="BF56" s="94">
        <v>0</v>
      </c>
    </row>
    <row r="57" spans="1:59" s="103" customFormat="1" ht="12.75">
      <c r="A57" s="212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1"/>
      <c r="AY57" s="243">
        <v>4000</v>
      </c>
      <c r="AZ57" s="119" t="s">
        <v>182</v>
      </c>
      <c r="BA57" s="104"/>
      <c r="BB57" s="104">
        <f>50052-5613.6</f>
        <v>44438.400000000001</v>
      </c>
      <c r="BC57" s="104"/>
      <c r="BD57" s="104"/>
      <c r="BE57" s="104"/>
      <c r="BF57" s="104"/>
      <c r="BG57" s="245" t="s">
        <v>163</v>
      </c>
    </row>
    <row r="58" spans="1:59" s="103" customFormat="1" ht="12.75">
      <c r="A58" s="212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1"/>
      <c r="AY58" s="244"/>
      <c r="AZ58" s="119" t="s">
        <v>183</v>
      </c>
      <c r="BA58" s="104"/>
      <c r="BB58" s="104">
        <f>1084680</f>
        <v>1084680</v>
      </c>
      <c r="BC58" s="104"/>
      <c r="BD58" s="104"/>
      <c r="BE58" s="104"/>
      <c r="BF58" s="104"/>
      <c r="BG58" s="245"/>
    </row>
    <row r="59" spans="1:59" s="103" customFormat="1" ht="12.75">
      <c r="A59" s="212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1"/>
      <c r="AY59" s="244"/>
      <c r="AZ59" s="119" t="s">
        <v>184</v>
      </c>
      <c r="BA59" s="104"/>
      <c r="BB59" s="104">
        <f>831218</f>
        <v>831218</v>
      </c>
      <c r="BC59" s="104"/>
      <c r="BD59" s="104"/>
      <c r="BE59" s="104"/>
      <c r="BF59" s="104"/>
      <c r="BG59" s="245"/>
    </row>
    <row r="60" spans="1:59" s="103" customFormat="1" ht="12.75">
      <c r="A60" s="212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1"/>
      <c r="AY60" s="244"/>
      <c r="AZ60" s="119" t="s">
        <v>185</v>
      </c>
      <c r="BA60" s="104"/>
      <c r="BB60" s="104">
        <f>41794</f>
        <v>41794</v>
      </c>
      <c r="BC60" s="104"/>
      <c r="BD60" s="104"/>
      <c r="BE60" s="104"/>
      <c r="BF60" s="104"/>
      <c r="BG60" s="245"/>
    </row>
    <row r="61" spans="1:59" s="103" customFormat="1" ht="12.75">
      <c r="A61" s="212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1"/>
      <c r="AY61" s="244"/>
      <c r="AZ61" s="119" t="s">
        <v>186</v>
      </c>
      <c r="BA61" s="104"/>
      <c r="BB61" s="104">
        <f>180966+90292.24</f>
        <v>271258.23999999999</v>
      </c>
      <c r="BC61" s="104"/>
      <c r="BD61" s="104"/>
      <c r="BE61" s="104"/>
      <c r="BF61" s="104"/>
      <c r="BG61" s="245"/>
    </row>
    <row r="62" spans="1:59" s="103" customFormat="1" ht="12.75">
      <c r="A62" s="212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1"/>
      <c r="AY62" s="244"/>
      <c r="AZ62" s="119" t="s">
        <v>187</v>
      </c>
      <c r="BA62" s="104"/>
      <c r="BB62" s="104">
        <f>263621-72900.91</f>
        <v>190720.09</v>
      </c>
      <c r="BC62" s="104"/>
      <c r="BD62" s="104"/>
      <c r="BE62" s="104"/>
      <c r="BF62" s="104"/>
      <c r="BG62" s="245"/>
    </row>
    <row r="63" spans="1:59" s="103" customFormat="1" ht="12.75">
      <c r="A63" s="212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1"/>
      <c r="AY63" s="244"/>
      <c r="AZ63" s="119" t="s">
        <v>188</v>
      </c>
      <c r="BA63" s="104"/>
      <c r="BB63" s="104">
        <f>137897-11777.73</f>
        <v>126119.27</v>
      </c>
      <c r="BC63" s="104"/>
      <c r="BD63" s="104"/>
      <c r="BE63" s="104"/>
      <c r="BF63" s="104"/>
      <c r="BG63" s="245"/>
    </row>
    <row r="64" spans="1:59" s="103" customFormat="1" ht="12.75">
      <c r="A64" s="246" t="s">
        <v>190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7"/>
      <c r="AT64" s="247"/>
      <c r="AU64" s="247"/>
      <c r="AV64" s="247"/>
      <c r="AW64" s="247"/>
      <c r="AX64" s="248"/>
      <c r="AY64" s="244"/>
      <c r="AZ64" s="119" t="s">
        <v>187</v>
      </c>
      <c r="BA64" s="104"/>
      <c r="BB64" s="104">
        <f>23684-23684</f>
        <v>0</v>
      </c>
      <c r="BC64" s="104"/>
      <c r="BD64" s="104"/>
      <c r="BE64" s="104"/>
      <c r="BF64" s="104"/>
      <c r="BG64" s="245"/>
    </row>
    <row r="65" spans="1:63" s="103" customFormat="1" ht="12.75" customHeight="1">
      <c r="A65" s="249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1"/>
      <c r="AY65" s="244"/>
      <c r="AZ65" s="119" t="s">
        <v>189</v>
      </c>
      <c r="BA65" s="104"/>
      <c r="BB65" s="104">
        <f>13696-13696</f>
        <v>0</v>
      </c>
      <c r="BC65" s="104"/>
      <c r="BD65" s="104"/>
      <c r="BE65" s="104"/>
      <c r="BF65" s="104"/>
      <c r="BG65" s="245"/>
    </row>
    <row r="66" spans="1:63" s="103" customFormat="1" ht="12.75">
      <c r="A66" s="212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1"/>
      <c r="AY66" s="252">
        <v>4199</v>
      </c>
      <c r="AZ66" s="119" t="s">
        <v>182</v>
      </c>
      <c r="BA66" s="104"/>
      <c r="BB66" s="104">
        <f>5312.72</f>
        <v>5312.72</v>
      </c>
      <c r="BC66" s="104"/>
      <c r="BD66" s="104"/>
      <c r="BE66" s="104"/>
      <c r="BF66" s="104"/>
      <c r="BG66" s="245"/>
    </row>
    <row r="67" spans="1:63" s="103" customFormat="1" ht="12.75">
      <c r="A67" s="212"/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1"/>
      <c r="AY67" s="252"/>
      <c r="AZ67" s="119" t="s">
        <v>183</v>
      </c>
      <c r="BA67" s="104"/>
      <c r="BB67" s="104">
        <f>759605.45-330782.78-12605.08</f>
        <v>416217.58999999991</v>
      </c>
      <c r="BC67" s="104"/>
      <c r="BD67" s="104"/>
      <c r="BE67" s="104"/>
      <c r="BF67" s="104"/>
      <c r="BG67" s="245"/>
    </row>
    <row r="68" spans="1:63" s="103" customFormat="1" ht="12.75">
      <c r="A68" s="212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1"/>
      <c r="AY68" s="252"/>
      <c r="AZ68" s="119" t="s">
        <v>184</v>
      </c>
      <c r="BA68" s="104"/>
      <c r="BB68" s="104">
        <f>323310.09</f>
        <v>323310.09000000003</v>
      </c>
      <c r="BC68" s="104"/>
      <c r="BD68" s="104"/>
      <c r="BE68" s="104"/>
      <c r="BF68" s="104"/>
      <c r="BG68" s="245"/>
    </row>
    <row r="69" spans="1:63" s="103" customFormat="1" ht="12.75">
      <c r="A69" s="212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1"/>
      <c r="AY69" s="252"/>
      <c r="AZ69" s="119" t="s">
        <v>185</v>
      </c>
      <c r="BA69" s="104"/>
      <c r="BB69" s="104">
        <f>11281.03-5994.22</f>
        <v>5286.81</v>
      </c>
      <c r="BC69" s="104"/>
      <c r="BD69" s="104"/>
      <c r="BE69" s="104"/>
      <c r="BF69" s="104"/>
      <c r="BG69" s="245"/>
    </row>
    <row r="70" spans="1:63" s="103" customFormat="1" ht="12.75">
      <c r="A70" s="246" t="s">
        <v>228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8"/>
      <c r="AY70" s="252"/>
      <c r="AZ70" s="119" t="s">
        <v>187</v>
      </c>
      <c r="BA70" s="104"/>
      <c r="BB70" s="104">
        <v>0</v>
      </c>
      <c r="BC70" s="104"/>
      <c r="BD70" s="104"/>
      <c r="BE70" s="104"/>
      <c r="BF70" s="104"/>
      <c r="BG70" s="245"/>
    </row>
    <row r="71" spans="1:63" s="103" customFormat="1" ht="12.75" customHeight="1">
      <c r="A71" s="249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250"/>
      <c r="AU71" s="250"/>
      <c r="AV71" s="250"/>
      <c r="AW71" s="250"/>
      <c r="AX71" s="251"/>
      <c r="AY71" s="252"/>
      <c r="AZ71" s="119" t="s">
        <v>189</v>
      </c>
      <c r="BA71" s="104"/>
      <c r="BB71" s="104">
        <v>4029.1</v>
      </c>
      <c r="BC71" s="104"/>
      <c r="BD71" s="104"/>
      <c r="BE71" s="104"/>
      <c r="BF71" s="104"/>
      <c r="BG71" s="245"/>
    </row>
    <row r="72" spans="1:63" s="103" customFormat="1" ht="12.75">
      <c r="A72" s="253"/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5"/>
      <c r="AY72" s="252"/>
      <c r="AZ72" s="119" t="s">
        <v>188</v>
      </c>
      <c r="BA72" s="104"/>
      <c r="BB72" s="104">
        <v>5200</v>
      </c>
      <c r="BC72" s="104"/>
      <c r="BD72" s="104"/>
      <c r="BE72" s="104"/>
      <c r="BF72" s="104"/>
      <c r="BG72" s="245"/>
    </row>
    <row r="73" spans="1:63" s="103" customFormat="1" ht="12.75">
      <c r="A73" s="212" t="s">
        <v>239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1"/>
      <c r="AY73" s="118"/>
      <c r="AZ73" s="119" t="s">
        <v>189</v>
      </c>
      <c r="BA73" s="104"/>
      <c r="BB73" s="104"/>
      <c r="BC73" s="104">
        <v>13696</v>
      </c>
      <c r="BD73" s="104"/>
      <c r="BE73" s="104"/>
      <c r="BF73" s="104"/>
      <c r="BG73" s="245"/>
    </row>
    <row r="74" spans="1:63" s="103" customFormat="1" ht="12.75">
      <c r="A74" s="212" t="s">
        <v>239</v>
      </c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1"/>
      <c r="AY74" s="118"/>
      <c r="AZ74" s="119" t="s">
        <v>187</v>
      </c>
      <c r="BA74" s="104"/>
      <c r="BB74" s="104"/>
      <c r="BC74" s="104">
        <v>23684</v>
      </c>
      <c r="BD74" s="104"/>
      <c r="BE74" s="104"/>
      <c r="BF74" s="104"/>
      <c r="BG74" s="245"/>
    </row>
    <row r="75" spans="1:63" s="103" customFormat="1" ht="12.75">
      <c r="A75" s="212" t="s">
        <v>192</v>
      </c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1"/>
      <c r="AY75" s="118"/>
      <c r="AZ75" s="119" t="s">
        <v>193</v>
      </c>
      <c r="BA75" s="104"/>
      <c r="BB75" s="104"/>
      <c r="BC75" s="104">
        <v>24300</v>
      </c>
      <c r="BD75" s="104"/>
      <c r="BE75" s="104"/>
      <c r="BF75" s="104"/>
      <c r="BG75" s="245"/>
    </row>
    <row r="76" spans="1:63" s="103" customFormat="1" ht="14.25" customHeight="1">
      <c r="A76" s="212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1"/>
      <c r="AY76" s="118"/>
      <c r="AZ76" s="119" t="s">
        <v>187</v>
      </c>
      <c r="BA76" s="104"/>
      <c r="BB76" s="104"/>
      <c r="BC76" s="104"/>
      <c r="BD76" s="104"/>
      <c r="BE76" s="104"/>
      <c r="BF76" s="104"/>
      <c r="BG76" s="245"/>
    </row>
    <row r="77" spans="1:63" s="103" customFormat="1" ht="14.25" customHeight="1">
      <c r="A77" s="212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1"/>
      <c r="AY77" s="118"/>
      <c r="AZ77" s="119" t="s">
        <v>189</v>
      </c>
      <c r="BA77" s="104"/>
      <c r="BB77" s="104"/>
      <c r="BC77" s="104"/>
      <c r="BD77" s="104"/>
      <c r="BE77" s="104"/>
      <c r="BF77" s="104"/>
      <c r="BG77" s="245"/>
    </row>
    <row r="78" spans="1:63" s="103" customFormat="1" ht="14.25" customHeight="1">
      <c r="A78" s="212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1"/>
      <c r="AY78" s="118"/>
      <c r="AZ78" s="119" t="s">
        <v>188</v>
      </c>
      <c r="BA78" s="104"/>
      <c r="BB78" s="104"/>
      <c r="BC78" s="104"/>
      <c r="BD78" s="104"/>
      <c r="BE78" s="104"/>
      <c r="BF78" s="104"/>
      <c r="BG78" s="245"/>
      <c r="BH78" s="105" t="s">
        <v>204</v>
      </c>
      <c r="BI78" s="106" t="s">
        <v>205</v>
      </c>
      <c r="BJ78" s="106" t="s">
        <v>206</v>
      </c>
      <c r="BK78" s="106" t="s">
        <v>157</v>
      </c>
    </row>
    <row r="79" spans="1:63" s="103" customFormat="1" ht="14.25" customHeight="1">
      <c r="A79" s="14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8"/>
      <c r="AY79" s="118">
        <v>2001</v>
      </c>
      <c r="AZ79" s="119" t="s">
        <v>182</v>
      </c>
      <c r="BA79" s="104"/>
      <c r="BB79" s="104"/>
      <c r="BC79" s="104"/>
      <c r="BD79" s="104"/>
      <c r="BE79" s="104">
        <f>22000+1016</f>
        <v>23016</v>
      </c>
      <c r="BF79" s="104"/>
      <c r="BG79" s="245"/>
      <c r="BH79" s="105">
        <v>221</v>
      </c>
      <c r="BI79" s="107">
        <f>BE79+BE95</f>
        <v>32516</v>
      </c>
      <c r="BJ79" s="107">
        <f>BB57+BB66</f>
        <v>49751.12</v>
      </c>
      <c r="BK79" s="107">
        <f>BI79+BJ79</f>
        <v>82267.12</v>
      </c>
    </row>
    <row r="80" spans="1:63" s="103" customFormat="1" ht="14.25" customHeight="1">
      <c r="A80" s="14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8" t="s">
        <v>196</v>
      </c>
      <c r="AY80" s="118">
        <v>2001</v>
      </c>
      <c r="AZ80" s="119" t="s">
        <v>191</v>
      </c>
      <c r="BA80" s="104"/>
      <c r="BB80" s="104"/>
      <c r="BC80" s="104"/>
      <c r="BD80" s="104"/>
      <c r="BE80" s="104">
        <f>13000</f>
        <v>13000</v>
      </c>
      <c r="BF80" s="104"/>
      <c r="BG80" s="245"/>
      <c r="BH80" s="105">
        <v>222</v>
      </c>
      <c r="BI80" s="107">
        <f>0</f>
        <v>0</v>
      </c>
      <c r="BJ80" s="107">
        <f>BC75</f>
        <v>24300</v>
      </c>
      <c r="BK80" s="107">
        <f t="shared" ref="BK80:BK86" si="6">BI80+BJ80</f>
        <v>24300</v>
      </c>
    </row>
    <row r="81" spans="1:63" s="103" customFormat="1" ht="14.25" customHeight="1">
      <c r="A81" s="14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8" t="s">
        <v>197</v>
      </c>
      <c r="AY81" s="118">
        <v>2001</v>
      </c>
      <c r="AZ81" s="119" t="s">
        <v>191</v>
      </c>
      <c r="BA81" s="104"/>
      <c r="BB81" s="104"/>
      <c r="BC81" s="104"/>
      <c r="BD81" s="104"/>
      <c r="BE81" s="104">
        <f>9000</f>
        <v>9000</v>
      </c>
      <c r="BF81" s="104"/>
      <c r="BG81" s="245"/>
      <c r="BH81" s="105">
        <v>223</v>
      </c>
      <c r="BI81" s="107">
        <f>BE80+BE81+BE82+BE92+BE93+BE94</f>
        <v>183252.77</v>
      </c>
      <c r="BJ81" s="107">
        <f>BB58+BB59+BB60+BB67+BB68+BB69</f>
        <v>2702506.4899999998</v>
      </c>
      <c r="BK81" s="107">
        <f t="shared" si="6"/>
        <v>2885759.26</v>
      </c>
    </row>
    <row r="82" spans="1:63" s="103" customFormat="1" ht="14.25" customHeight="1">
      <c r="A82" s="14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8" t="s">
        <v>198</v>
      </c>
      <c r="AY82" s="118">
        <v>2001</v>
      </c>
      <c r="AZ82" s="119" t="s">
        <v>191</v>
      </c>
      <c r="BA82" s="104"/>
      <c r="BB82" s="104"/>
      <c r="BC82" s="104"/>
      <c r="BD82" s="104"/>
      <c r="BE82" s="104">
        <f>2000</f>
        <v>2000</v>
      </c>
      <c r="BF82" s="104"/>
      <c r="BG82" s="245"/>
      <c r="BH82" s="105">
        <v>225</v>
      </c>
      <c r="BI82" s="107">
        <f>BE83+BE88+BE96+BE87</f>
        <v>91300</v>
      </c>
      <c r="BJ82" s="107">
        <f>BB61</f>
        <v>271258.23999999999</v>
      </c>
      <c r="BK82" s="107">
        <f t="shared" si="6"/>
        <v>362558.24</v>
      </c>
    </row>
    <row r="83" spans="1:63" s="103" customFormat="1" ht="14.25" customHeight="1">
      <c r="A83" s="14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8"/>
      <c r="AY83" s="118">
        <v>2001</v>
      </c>
      <c r="AZ83" s="119" t="s">
        <v>186</v>
      </c>
      <c r="BA83" s="104"/>
      <c r="BB83" s="104"/>
      <c r="BC83" s="104"/>
      <c r="BD83" s="104"/>
      <c r="BE83" s="104">
        <f>100000-68700</f>
        <v>31300</v>
      </c>
      <c r="BF83" s="104"/>
      <c r="BG83" s="245"/>
      <c r="BH83" s="105">
        <v>226</v>
      </c>
      <c r="BI83" s="107">
        <f>BE84+BE89+BE97</f>
        <v>138215.4</v>
      </c>
      <c r="BJ83" s="107">
        <f>BB62+BB64+BB70+BC74</f>
        <v>214404.09</v>
      </c>
      <c r="BK83" s="107">
        <f t="shared" si="6"/>
        <v>352619.49</v>
      </c>
    </row>
    <row r="84" spans="1:63" s="103" customFormat="1" ht="14.25" customHeight="1">
      <c r="A84" s="14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8"/>
      <c r="AY84" s="118">
        <v>2001</v>
      </c>
      <c r="AZ84" s="119" t="s">
        <v>187</v>
      </c>
      <c r="BA84" s="104"/>
      <c r="BB84" s="104"/>
      <c r="BC84" s="104"/>
      <c r="BD84" s="104"/>
      <c r="BE84" s="104">
        <f>10000+26170</f>
        <v>36170</v>
      </c>
      <c r="BF84" s="104"/>
      <c r="BG84" s="245"/>
      <c r="BH84" s="105">
        <v>290</v>
      </c>
      <c r="BI84" s="107">
        <f>BE100</f>
        <v>3.41</v>
      </c>
      <c r="BJ84" s="107">
        <f>BB65+BB71+BC73</f>
        <v>17725.099999999999</v>
      </c>
      <c r="BK84" s="107">
        <f t="shared" si="6"/>
        <v>17728.509999999998</v>
      </c>
    </row>
    <row r="85" spans="1:63" s="103" customFormat="1" ht="14.25" customHeight="1">
      <c r="A85" s="14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8"/>
      <c r="AY85" s="118">
        <v>2001</v>
      </c>
      <c r="AZ85" s="119" t="s">
        <v>199</v>
      </c>
      <c r="BA85" s="104"/>
      <c r="BB85" s="104"/>
      <c r="BC85" s="104"/>
      <c r="BD85" s="104"/>
      <c r="BE85" s="104">
        <f>6000-2728.7</f>
        <v>3271.3</v>
      </c>
      <c r="BF85" s="104"/>
      <c r="BG85" s="245"/>
      <c r="BH85" s="105">
        <v>310</v>
      </c>
      <c r="BI85" s="107">
        <f>BE85+BE90+BE98</f>
        <v>3271.3</v>
      </c>
      <c r="BJ85" s="107">
        <f>0</f>
        <v>0</v>
      </c>
      <c r="BK85" s="107">
        <f t="shared" si="6"/>
        <v>3271.3</v>
      </c>
    </row>
    <row r="86" spans="1:63" s="103" customFormat="1" ht="14.25" customHeight="1">
      <c r="A86" s="14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8"/>
      <c r="AY86" s="118">
        <v>2001</v>
      </c>
      <c r="AZ86" s="119" t="s">
        <v>188</v>
      </c>
      <c r="BA86" s="104"/>
      <c r="BB86" s="104"/>
      <c r="BC86" s="104"/>
      <c r="BD86" s="104"/>
      <c r="BE86" s="104">
        <f>15000+45946.7</f>
        <v>60946.7</v>
      </c>
      <c r="BF86" s="104"/>
      <c r="BG86" s="245"/>
      <c r="BH86" s="105">
        <v>340</v>
      </c>
      <c r="BI86" s="107">
        <f>BE86+BE91+BE99</f>
        <v>82401.299999999988</v>
      </c>
      <c r="BJ86" s="107">
        <f>BB72+BB63</f>
        <v>131319.27000000002</v>
      </c>
      <c r="BK86" s="107">
        <f t="shared" si="6"/>
        <v>213720.57</v>
      </c>
    </row>
    <row r="87" spans="1:63" s="103" customFormat="1" ht="14.25" customHeight="1">
      <c r="A87" s="14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8"/>
      <c r="AY87" s="118">
        <v>2006</v>
      </c>
      <c r="AZ87" s="119" t="s">
        <v>186</v>
      </c>
      <c r="BA87" s="104"/>
      <c r="BB87" s="104"/>
      <c r="BC87" s="104"/>
      <c r="BD87" s="104"/>
      <c r="BE87" s="104">
        <v>60000</v>
      </c>
      <c r="BF87" s="104"/>
      <c r="BG87" s="245"/>
      <c r="BH87" s="105" t="s">
        <v>157</v>
      </c>
      <c r="BI87" s="107">
        <f>SUM(BI79:BI86)</f>
        <v>530960.17999999993</v>
      </c>
      <c r="BJ87" s="107">
        <f>SUM(BJ79:BJ86)</f>
        <v>3411264.3099999996</v>
      </c>
      <c r="BK87" s="107">
        <f t="shared" ref="BK87" si="7">SUM(BK79:BK86)</f>
        <v>3942224.4899999998</v>
      </c>
    </row>
    <row r="88" spans="1:63" s="103" customFormat="1" ht="14.25" customHeight="1">
      <c r="A88" s="14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8"/>
      <c r="AY88" s="118">
        <v>2010</v>
      </c>
      <c r="AZ88" s="119" t="s">
        <v>186</v>
      </c>
      <c r="BA88" s="104"/>
      <c r="BB88" s="104"/>
      <c r="BC88" s="104"/>
      <c r="BD88" s="104"/>
      <c r="BE88" s="104"/>
      <c r="BF88" s="104"/>
      <c r="BG88" s="245"/>
      <c r="BH88" s="105"/>
      <c r="BI88" s="109">
        <f>BE56-BI87</f>
        <v>0</v>
      </c>
      <c r="BJ88" s="109">
        <f>(BB56+BC56)-BJ87</f>
        <v>0</v>
      </c>
      <c r="BK88" s="108">
        <f>BA56-BK87</f>
        <v>0</v>
      </c>
    </row>
    <row r="89" spans="1:63" s="103" customFormat="1" ht="14.25" customHeight="1">
      <c r="A89" s="14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8"/>
      <c r="AY89" s="118">
        <v>2010</v>
      </c>
      <c r="AZ89" s="119" t="s">
        <v>187</v>
      </c>
      <c r="BA89" s="104"/>
      <c r="BB89" s="104"/>
      <c r="BC89" s="104"/>
      <c r="BD89" s="104"/>
      <c r="BE89" s="104">
        <f>10000-10000</f>
        <v>0</v>
      </c>
      <c r="BF89" s="104"/>
      <c r="BG89" s="245"/>
    </row>
    <row r="90" spans="1:63" s="103" customFormat="1" ht="14.25" customHeight="1">
      <c r="A90" s="14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8"/>
      <c r="AY90" s="118">
        <v>2010</v>
      </c>
      <c r="AZ90" s="119" t="s">
        <v>199</v>
      </c>
      <c r="BA90" s="104"/>
      <c r="BB90" s="104"/>
      <c r="BC90" s="104"/>
      <c r="BD90" s="104"/>
      <c r="BE90" s="104">
        <f>15000-15000</f>
        <v>0</v>
      </c>
      <c r="BF90" s="104"/>
      <c r="BG90" s="245"/>
      <c r="BH90" s="105" t="s">
        <v>210</v>
      </c>
      <c r="BI90" s="105" t="s">
        <v>205</v>
      </c>
      <c r="BJ90" s="105" t="s">
        <v>229</v>
      </c>
      <c r="BK90" s="110" t="s">
        <v>209</v>
      </c>
    </row>
    <row r="91" spans="1:63" s="103" customFormat="1" ht="14.25" customHeight="1">
      <c r="A91" s="14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8"/>
      <c r="AY91" s="118">
        <v>2010</v>
      </c>
      <c r="AZ91" s="119" t="s">
        <v>188</v>
      </c>
      <c r="BA91" s="104"/>
      <c r="BB91" s="104"/>
      <c r="BC91" s="104"/>
      <c r="BD91" s="104"/>
      <c r="BE91" s="104">
        <f>30000-30000</f>
        <v>0</v>
      </c>
      <c r="BF91" s="104"/>
      <c r="BG91" s="245"/>
      <c r="BH91" s="105" t="s">
        <v>196</v>
      </c>
      <c r="BI91" s="111">
        <f>BE80+BE92</f>
        <v>101900</v>
      </c>
      <c r="BJ91" s="111">
        <f>BB58+BB67</f>
        <v>1500897.5899999999</v>
      </c>
      <c r="BK91" s="111">
        <f>BJ91-BI109</f>
        <v>1500897.5899999999</v>
      </c>
    </row>
    <row r="92" spans="1:63" s="103" customFormat="1" ht="14.25" customHeight="1">
      <c r="A92" s="14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8" t="s">
        <v>196</v>
      </c>
      <c r="AY92" s="118">
        <v>2011</v>
      </c>
      <c r="AZ92" s="119" t="s">
        <v>191</v>
      </c>
      <c r="BA92" s="104"/>
      <c r="BB92" s="104"/>
      <c r="BC92" s="104"/>
      <c r="BD92" s="104"/>
      <c r="BE92" s="104">
        <f>12000+76900</f>
        <v>88900</v>
      </c>
      <c r="BF92" s="104"/>
      <c r="BG92" s="245"/>
      <c r="BH92" s="105" t="s">
        <v>197</v>
      </c>
      <c r="BI92" s="111">
        <f>BE81+BE93</f>
        <v>71100</v>
      </c>
      <c r="BJ92" s="111">
        <f>BB59+BB68</f>
        <v>1154528.0900000001</v>
      </c>
      <c r="BK92" s="111">
        <f>BJ92-BI110</f>
        <v>1154528.0900000001</v>
      </c>
    </row>
    <row r="93" spans="1:63" s="103" customFormat="1" ht="14.25" customHeight="1">
      <c r="A93" s="14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8" t="s">
        <v>197</v>
      </c>
      <c r="AY93" s="118">
        <v>2011</v>
      </c>
      <c r="AZ93" s="119" t="s">
        <v>191</v>
      </c>
      <c r="BA93" s="104"/>
      <c r="BB93" s="104"/>
      <c r="BC93" s="104"/>
      <c r="BD93" s="104"/>
      <c r="BE93" s="104">
        <f>30000+32100</f>
        <v>62100</v>
      </c>
      <c r="BF93" s="104"/>
      <c r="BG93" s="245"/>
      <c r="BH93" s="105" t="s">
        <v>198</v>
      </c>
      <c r="BI93" s="111">
        <f>BE82+BE94</f>
        <v>10252.77</v>
      </c>
      <c r="BJ93" s="111">
        <f>BB60+BB69</f>
        <v>47080.81</v>
      </c>
      <c r="BK93" s="111">
        <f>BJ93-BI111</f>
        <v>47080.81</v>
      </c>
    </row>
    <row r="94" spans="1:63" s="103" customFormat="1" ht="14.25" customHeight="1">
      <c r="A94" s="14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8" t="s">
        <v>198</v>
      </c>
      <c r="AY94" s="118">
        <v>2011</v>
      </c>
      <c r="AZ94" s="119" t="s">
        <v>191</v>
      </c>
      <c r="BA94" s="104"/>
      <c r="BB94" s="104"/>
      <c r="BC94" s="104"/>
      <c r="BD94" s="104"/>
      <c r="BE94" s="104">
        <f>3000+5252.77</f>
        <v>8252.77</v>
      </c>
      <c r="BF94" s="104"/>
      <c r="BG94" s="245"/>
      <c r="BH94" s="105"/>
      <c r="BI94" s="111">
        <f>SUM(BI91:BI93)</f>
        <v>183252.77</v>
      </c>
      <c r="BJ94" s="111">
        <f>SUM(BJ91:BJ93)</f>
        <v>2702506.4899999998</v>
      </c>
      <c r="BK94" s="111">
        <f>SUM(BK91:BK93)</f>
        <v>2702506.4899999998</v>
      </c>
    </row>
    <row r="95" spans="1:63" s="103" customFormat="1" ht="14.25" customHeight="1">
      <c r="A95" s="212"/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1"/>
      <c r="AY95" s="118">
        <v>2019</v>
      </c>
      <c r="AZ95" s="119" t="s">
        <v>182</v>
      </c>
      <c r="BA95" s="104"/>
      <c r="BB95" s="104"/>
      <c r="BC95" s="104"/>
      <c r="BD95" s="104"/>
      <c r="BE95" s="104">
        <f>10000-500</f>
        <v>9500</v>
      </c>
      <c r="BF95" s="104"/>
      <c r="BG95" s="245"/>
      <c r="BH95" s="105"/>
      <c r="BI95" s="256">
        <f>BI94+BJ94</f>
        <v>2885759.26</v>
      </c>
      <c r="BJ95" s="257"/>
      <c r="BK95" s="155">
        <f>BK81-BI95</f>
        <v>0</v>
      </c>
    </row>
    <row r="96" spans="1:63" s="103" customFormat="1" ht="14.25" customHeight="1">
      <c r="A96" s="212"/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1"/>
      <c r="AY96" s="118">
        <v>2019</v>
      </c>
      <c r="AZ96" s="119" t="s">
        <v>186</v>
      </c>
      <c r="BA96" s="104"/>
      <c r="BB96" s="104"/>
      <c r="BC96" s="104"/>
      <c r="BD96" s="104"/>
      <c r="BE96" s="104">
        <f>17000-17000</f>
        <v>0</v>
      </c>
      <c r="BF96" s="104"/>
      <c r="BG96" s="245"/>
    </row>
    <row r="97" spans="1:62" s="103" customFormat="1" ht="14.25" customHeight="1">
      <c r="A97" s="212"/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1"/>
      <c r="AY97" s="118">
        <v>2019</v>
      </c>
      <c r="AZ97" s="119" t="s">
        <v>187</v>
      </c>
      <c r="BA97" s="104"/>
      <c r="BB97" s="104"/>
      <c r="BC97" s="104"/>
      <c r="BD97" s="104"/>
      <c r="BE97" s="104">
        <f>66000+36045.4</f>
        <v>102045.4</v>
      </c>
      <c r="BF97" s="104"/>
      <c r="BG97" s="245"/>
    </row>
    <row r="98" spans="1:62" s="103" customFormat="1" ht="14.25" customHeight="1">
      <c r="A98" s="14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8"/>
      <c r="AY98" s="118">
        <v>2019</v>
      </c>
      <c r="AZ98" s="119" t="s">
        <v>199</v>
      </c>
      <c r="BA98" s="104"/>
      <c r="BB98" s="104"/>
      <c r="BC98" s="104"/>
      <c r="BD98" s="104"/>
      <c r="BE98" s="104"/>
      <c r="BF98" s="104"/>
      <c r="BG98" s="245"/>
      <c r="BH98" s="112" t="s">
        <v>220</v>
      </c>
      <c r="BI98" s="112"/>
      <c r="BJ98" s="112"/>
    </row>
    <row r="99" spans="1:62" s="103" customFormat="1" ht="14.25" customHeight="1">
      <c r="A99" s="212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1"/>
      <c r="AY99" s="118">
        <v>2019</v>
      </c>
      <c r="AZ99" s="119" t="s">
        <v>188</v>
      </c>
      <c r="BA99" s="104"/>
      <c r="BB99" s="104"/>
      <c r="BC99" s="104"/>
      <c r="BD99" s="104"/>
      <c r="BE99" s="104">
        <f>40000-18545.4</f>
        <v>21454.6</v>
      </c>
      <c r="BF99" s="104"/>
      <c r="BG99" s="245"/>
      <c r="BH99" s="113">
        <v>2001</v>
      </c>
      <c r="BI99" s="114">
        <v>32454.21</v>
      </c>
      <c r="BJ99" s="258">
        <f>BI99+BI100+BI101+BI102+BI103+BI104+BI105</f>
        <v>1205858.5</v>
      </c>
    </row>
    <row r="100" spans="1:62" s="103" customFormat="1" ht="14.25" customHeight="1">
      <c r="A100" s="212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1"/>
      <c r="AY100" s="118">
        <v>2021</v>
      </c>
      <c r="AZ100" s="119" t="s">
        <v>189</v>
      </c>
      <c r="BA100" s="104"/>
      <c r="BB100" s="104"/>
      <c r="BC100" s="104"/>
      <c r="BD100" s="104"/>
      <c r="BE100" s="104">
        <v>3.41</v>
      </c>
      <c r="BF100" s="104"/>
      <c r="BG100" s="245"/>
      <c r="BH100" s="113">
        <v>2010</v>
      </c>
      <c r="BI100" s="114">
        <v>22.45</v>
      </c>
      <c r="BJ100" s="259"/>
    </row>
    <row r="101" spans="1:62" ht="12.75">
      <c r="A101" s="6"/>
      <c r="B101" s="7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200"/>
      <c r="AY101" s="8"/>
      <c r="AZ101" s="81"/>
      <c r="BA101" s="95"/>
      <c r="BB101" s="90"/>
      <c r="BC101" s="90"/>
      <c r="BD101" s="90"/>
      <c r="BE101" s="90"/>
      <c r="BF101" s="90"/>
      <c r="BH101" s="113">
        <v>2011</v>
      </c>
      <c r="BI101" s="114">
        <v>37252.769999999997</v>
      </c>
      <c r="BJ101" s="259"/>
    </row>
    <row r="102" spans="1:62" ht="12.75">
      <c r="A102" s="145"/>
      <c r="B102" s="152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200"/>
      <c r="AY102" s="8"/>
      <c r="AZ102" s="81"/>
      <c r="BA102" s="95"/>
      <c r="BB102" s="90"/>
      <c r="BC102" s="90"/>
      <c r="BD102" s="90"/>
      <c r="BE102" s="90"/>
      <c r="BF102" s="90"/>
      <c r="BH102" s="113">
        <v>2019</v>
      </c>
      <c r="BI102" s="114">
        <v>3087.27</v>
      </c>
      <c r="BJ102" s="259"/>
    </row>
    <row r="103" spans="1:62" ht="12.75">
      <c r="A103" s="5"/>
      <c r="B103" s="199" t="s">
        <v>52</v>
      </c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200"/>
      <c r="AY103" s="8">
        <v>300</v>
      </c>
      <c r="AZ103" s="81" t="s">
        <v>32</v>
      </c>
      <c r="BA103" s="95">
        <f t="shared" ref="BA103:BA108" si="8">BB103+BC103+BD103+BF103</f>
        <v>0</v>
      </c>
      <c r="BB103" s="90"/>
      <c r="BC103" s="90"/>
      <c r="BD103" s="90"/>
      <c r="BE103" s="90"/>
      <c r="BF103" s="90"/>
      <c r="BH103" s="113">
        <v>5199</v>
      </c>
      <c r="BI103" s="114">
        <v>24300</v>
      </c>
      <c r="BJ103" s="260"/>
    </row>
    <row r="104" spans="1:62" ht="12.75">
      <c r="A104" s="6"/>
      <c r="B104" s="7"/>
      <c r="C104" s="199" t="s">
        <v>53</v>
      </c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200"/>
      <c r="AY104" s="8">
        <v>310</v>
      </c>
      <c r="AZ104" s="81"/>
      <c r="BA104" s="95">
        <f t="shared" si="8"/>
        <v>0</v>
      </c>
      <c r="BB104" s="90"/>
      <c r="BC104" s="90"/>
      <c r="BD104" s="90"/>
      <c r="BE104" s="90"/>
      <c r="BF104" s="90"/>
      <c r="BH104" s="113">
        <v>2021</v>
      </c>
      <c r="BI104" s="114">
        <v>3.41</v>
      </c>
      <c r="BJ104" s="122"/>
    </row>
    <row r="105" spans="1:62" ht="12.75">
      <c r="A105" s="145"/>
      <c r="B105" s="152"/>
      <c r="C105" s="199" t="s">
        <v>54</v>
      </c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200"/>
      <c r="AY105" s="8">
        <v>320</v>
      </c>
      <c r="AZ105" s="81"/>
      <c r="BA105" s="95">
        <f t="shared" si="8"/>
        <v>0</v>
      </c>
      <c r="BB105" s="90"/>
      <c r="BC105" s="90"/>
      <c r="BD105" s="90"/>
      <c r="BE105" s="90"/>
      <c r="BF105" s="90"/>
      <c r="BH105" s="113">
        <v>4000</v>
      </c>
      <c r="BI105" s="114">
        <v>1108738.3899999999</v>
      </c>
      <c r="BJ105" s="122"/>
    </row>
    <row r="106" spans="1:62" ht="12.75">
      <c r="A106" s="145"/>
      <c r="B106" s="152"/>
      <c r="C106" s="199" t="s">
        <v>55</v>
      </c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199"/>
      <c r="AU106" s="199"/>
      <c r="AV106" s="199"/>
      <c r="AW106" s="199"/>
      <c r="AX106" s="200"/>
      <c r="AY106" s="8">
        <v>400</v>
      </c>
      <c r="AZ106" s="81"/>
      <c r="BA106" s="95">
        <f t="shared" si="8"/>
        <v>0</v>
      </c>
      <c r="BB106" s="90"/>
      <c r="BC106" s="90"/>
      <c r="BD106" s="90"/>
      <c r="BE106" s="90"/>
      <c r="BF106" s="90"/>
      <c r="BH106" s="144"/>
      <c r="BI106" s="144"/>
      <c r="BJ106" s="144"/>
    </row>
    <row r="107" spans="1:62" ht="12.75">
      <c r="A107" s="145"/>
      <c r="B107" s="152"/>
      <c r="C107" s="199" t="s">
        <v>56</v>
      </c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199"/>
      <c r="AV107" s="199"/>
      <c r="AW107" s="199"/>
      <c r="AX107" s="200"/>
      <c r="AY107" s="8">
        <v>410</v>
      </c>
      <c r="AZ107" s="81"/>
      <c r="BA107" s="95">
        <f t="shared" si="8"/>
        <v>0</v>
      </c>
      <c r="BB107" s="90"/>
      <c r="BC107" s="90"/>
      <c r="BD107" s="90"/>
      <c r="BE107" s="90"/>
      <c r="BF107" s="90"/>
      <c r="BH107" s="144"/>
      <c r="BI107" s="144"/>
      <c r="BJ107" s="144"/>
    </row>
    <row r="108" spans="1:62" ht="12.75">
      <c r="A108" s="145"/>
      <c r="B108" s="152"/>
      <c r="C108" s="199" t="s">
        <v>57</v>
      </c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  <c r="AU108" s="199"/>
      <c r="AV108" s="199"/>
      <c r="AW108" s="199"/>
      <c r="AX108" s="200"/>
      <c r="AY108" s="8">
        <v>420</v>
      </c>
      <c r="AZ108" s="81"/>
      <c r="BA108" s="95">
        <f t="shared" si="8"/>
        <v>0</v>
      </c>
      <c r="BB108" s="90"/>
      <c r="BC108" s="90"/>
      <c r="BD108" s="90"/>
      <c r="BE108" s="90"/>
      <c r="BF108" s="90"/>
      <c r="BH108" s="141"/>
      <c r="BI108" s="142"/>
      <c r="BJ108" s="144"/>
    </row>
    <row r="109" spans="1:62" ht="12.75">
      <c r="A109" s="145"/>
      <c r="B109" s="201" t="s">
        <v>26</v>
      </c>
      <c r="C109" s="202" t="s">
        <v>11</v>
      </c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3"/>
      <c r="AY109" s="14" t="s">
        <v>27</v>
      </c>
      <c r="AZ109" s="81" t="s">
        <v>32</v>
      </c>
      <c r="BA109" s="95">
        <f>BB109+BC109+BD109+BE109</f>
        <v>1205858.5</v>
      </c>
      <c r="BB109" s="94">
        <v>1108738.3899999999</v>
      </c>
      <c r="BC109" s="94">
        <v>24300</v>
      </c>
      <c r="BD109" s="94">
        <v>0</v>
      </c>
      <c r="BE109" s="94">
        <v>72820.11</v>
      </c>
      <c r="BF109" s="94">
        <v>0</v>
      </c>
      <c r="BH109" s="141"/>
      <c r="BI109" s="143"/>
      <c r="BJ109" s="144"/>
    </row>
    <row r="110" spans="1:62" ht="12.75">
      <c r="A110" s="145"/>
      <c r="B110" s="204" t="s">
        <v>28</v>
      </c>
      <c r="C110" s="205" t="s">
        <v>11</v>
      </c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150" t="s">
        <v>29</v>
      </c>
      <c r="AZ110" s="81" t="s">
        <v>32</v>
      </c>
      <c r="BA110" s="95">
        <f>BB110+BC110+BD110+BF110</f>
        <v>0</v>
      </c>
      <c r="BB110" s="90"/>
      <c r="BC110" s="90"/>
      <c r="BD110" s="90"/>
      <c r="BE110" s="90"/>
      <c r="BF110" s="90"/>
      <c r="BH110" s="141"/>
      <c r="BI110" s="143"/>
    </row>
    <row r="111" spans="1:62" ht="12.75">
      <c r="A111" s="126"/>
      <c r="B111" s="133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30"/>
      <c r="AZ111" s="131"/>
      <c r="BA111" s="132"/>
      <c r="BB111" s="128"/>
      <c r="BC111" s="128"/>
      <c r="BD111" s="128"/>
      <c r="BE111" s="128"/>
      <c r="BF111" s="128"/>
      <c r="BH111" s="141"/>
      <c r="BI111" s="143"/>
    </row>
    <row r="112" spans="1:62" ht="12.75">
      <c r="A112" s="126"/>
      <c r="B112" s="127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30"/>
      <c r="AZ112" s="131"/>
      <c r="BA112" s="132"/>
      <c r="BB112" s="128"/>
      <c r="BC112" s="128"/>
      <c r="BD112" s="128"/>
      <c r="BE112" s="128"/>
      <c r="BF112" s="128"/>
      <c r="BH112" s="141"/>
      <c r="BI112" s="143"/>
    </row>
    <row r="113" spans="1:58" ht="12.75">
      <c r="A113" s="206" t="s">
        <v>63</v>
      </c>
      <c r="B113" s="206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BA113" s="123">
        <f t="shared" ref="BA113:BF113" si="9">BA30-BA9-BA109</f>
        <v>0</v>
      </c>
      <c r="BB113" s="123">
        <f t="shared" si="9"/>
        <v>0</v>
      </c>
      <c r="BC113" s="123">
        <f t="shared" si="9"/>
        <v>0</v>
      </c>
      <c r="BD113" s="123">
        <f t="shared" si="9"/>
        <v>0</v>
      </c>
      <c r="BE113" s="123">
        <f t="shared" si="9"/>
        <v>0</v>
      </c>
      <c r="BF113" s="123">
        <f t="shared" si="9"/>
        <v>0</v>
      </c>
    </row>
    <row r="116" spans="1:58" ht="12.75">
      <c r="BB116" s="125"/>
    </row>
  </sheetData>
  <mergeCells count="101">
    <mergeCell ref="B110:AX110"/>
    <mergeCell ref="A113:AX113"/>
    <mergeCell ref="C38:AX38"/>
    <mergeCell ref="C39:AX39"/>
    <mergeCell ref="C104:AX104"/>
    <mergeCell ref="C105:AX105"/>
    <mergeCell ref="C106:AX106"/>
    <mergeCell ref="C107:AX107"/>
    <mergeCell ref="C108:AX108"/>
    <mergeCell ref="B109:AX109"/>
    <mergeCell ref="A97:AX97"/>
    <mergeCell ref="A99:AX99"/>
    <mergeCell ref="A76:AX76"/>
    <mergeCell ref="A77:AX77"/>
    <mergeCell ref="A78:AX78"/>
    <mergeCell ref="A95:AX95"/>
    <mergeCell ref="B56:AX56"/>
    <mergeCell ref="A57:AX57"/>
    <mergeCell ref="A62:AX62"/>
    <mergeCell ref="A63:AX63"/>
    <mergeCell ref="A51:AX51"/>
    <mergeCell ref="C52:AX52"/>
    <mergeCell ref="C53:AX53"/>
    <mergeCell ref="C54:AX54"/>
    <mergeCell ref="BJ99:BJ103"/>
    <mergeCell ref="A100:AX100"/>
    <mergeCell ref="C101:AX101"/>
    <mergeCell ref="C102:AX102"/>
    <mergeCell ref="B103:AX103"/>
    <mergeCell ref="BI95:BJ95"/>
    <mergeCell ref="A96:AX96"/>
    <mergeCell ref="A64:AX65"/>
    <mergeCell ref="A73:AX73"/>
    <mergeCell ref="A74:AX74"/>
    <mergeCell ref="A75:AX75"/>
    <mergeCell ref="A70:AX72"/>
    <mergeCell ref="A66:AX66"/>
    <mergeCell ref="A67:AX67"/>
    <mergeCell ref="A68:AX68"/>
    <mergeCell ref="A69:AX69"/>
    <mergeCell ref="AY57:AY65"/>
    <mergeCell ref="BG57:BG100"/>
    <mergeCell ref="A58:AX58"/>
    <mergeCell ref="A59:AX59"/>
    <mergeCell ref="A60:AX60"/>
    <mergeCell ref="A61:AX61"/>
    <mergeCell ref="AY66:AY72"/>
    <mergeCell ref="C55:AX55"/>
    <mergeCell ref="A50:AX50"/>
    <mergeCell ref="C37:AX37"/>
    <mergeCell ref="C40:AX40"/>
    <mergeCell ref="B41:AX41"/>
    <mergeCell ref="C42:AX42"/>
    <mergeCell ref="C43:AX43"/>
    <mergeCell ref="C44:AX44"/>
    <mergeCell ref="C45:AX45"/>
    <mergeCell ref="A46:AX46"/>
    <mergeCell ref="B47:AX47"/>
    <mergeCell ref="C48:AX48"/>
    <mergeCell ref="A49:AX49"/>
    <mergeCell ref="BG13:BG19"/>
    <mergeCell ref="A14:AX14"/>
    <mergeCell ref="A15:AX15"/>
    <mergeCell ref="A16:AX16"/>
    <mergeCell ref="A17:AX17"/>
    <mergeCell ref="A18:AX18"/>
    <mergeCell ref="A19:AX19"/>
    <mergeCell ref="B20:AX20"/>
    <mergeCell ref="C36:AX36"/>
    <mergeCell ref="B25:AX25"/>
    <mergeCell ref="A26:AX26"/>
    <mergeCell ref="A27:AX27"/>
    <mergeCell ref="B28:AX28"/>
    <mergeCell ref="B29:AX29"/>
    <mergeCell ref="B30:AX30"/>
    <mergeCell ref="B31:AX31"/>
    <mergeCell ref="B32:AX32"/>
    <mergeCell ref="C33:AX33"/>
    <mergeCell ref="C34:AX34"/>
    <mergeCell ref="C35:AX35"/>
    <mergeCell ref="B21:AX21"/>
    <mergeCell ref="B22:AX22"/>
    <mergeCell ref="A23:AX23"/>
    <mergeCell ref="A24:AX24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  <mergeCell ref="A13:AX13"/>
  </mergeCells>
  <pageMargins left="0.48" right="0.11" top="0.22" bottom="0.21" header="0.17" footer="0.15"/>
  <pageSetup paperSize="9" scale="4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тит</vt:lpstr>
      <vt:lpstr>2</vt:lpstr>
      <vt:lpstr>3</vt:lpstr>
      <vt:lpstr>3 (2)</vt:lpstr>
      <vt:lpstr>3 (3)</vt:lpstr>
      <vt:lpstr>4</vt:lpstr>
      <vt:lpstr>5</vt:lpstr>
      <vt:lpstr>3 с разбивкой утв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'3 с разбивкой утв'!Область_печати</vt:lpstr>
      <vt:lpstr>'4'!Область_печати</vt:lpstr>
      <vt:lpstr>'5'!Область_печати</vt:lpstr>
      <vt:lpstr>тит!Область_печати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глав.бух.</cp:lastModifiedBy>
  <cp:lastPrinted>2017-02-03T09:22:52Z</cp:lastPrinted>
  <dcterms:created xsi:type="dcterms:W3CDTF">2016-04-19T05:14:21Z</dcterms:created>
  <dcterms:modified xsi:type="dcterms:W3CDTF">2017-02-03T09:25:15Z</dcterms:modified>
</cp:coreProperties>
</file>